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1076" windowHeight="5472" tabRatio="202" activeTab="0"/>
  </bookViews>
  <sheets>
    <sheet name="Sheet1" sheetId="1" r:id="rId1"/>
    <sheet name="Sheet2" sheetId="2" r:id="rId2"/>
    <sheet name="Sheet3" sheetId="3" r:id="rId3"/>
  </sheets>
  <definedNames>
    <definedName name="bea">'Sheet1'!$E$36</definedName>
    <definedName name="bean">'Sheet1'!$D$36</definedName>
    <definedName name="car">'Sheet1'!$E$24</definedName>
    <definedName name="carn">'Sheet1'!$D$24</definedName>
    <definedName name="cel">'Sheet1'!$J$7</definedName>
    <definedName name="cha">'Sheet1'!$E$37</definedName>
    <definedName name="chan">'Sheet1'!$D$37</definedName>
    <definedName name="choc">'Sheet1'!#REF!</definedName>
    <definedName name="com">'Sheet1'!$E$30</definedName>
    <definedName name="comn">'Sheet1'!$D$30</definedName>
    <definedName name="coo">'Sheet1'!$E$15</definedName>
    <definedName name="coob">'Sheet1'!$F$15</definedName>
    <definedName name="coon">'Sheet1'!$D$15</definedName>
    <definedName name="dcv">'Sheet1'!$J$9</definedName>
    <definedName name="div">'Sheet1'!#REF!</definedName>
    <definedName name="dodge">'Sheet1'!#REF!</definedName>
    <definedName name="dtv">'Sheet1'!#REF!</definedName>
    <definedName name="encomb">'Sheet1'!$J$29</definedName>
    <definedName name="enl">'Sheet1'!$J$35</definedName>
    <definedName name="enlmalus">'Sheet1'!$J$36</definedName>
    <definedName name="equ">'Sheet1'!$E$19</definedName>
    <definedName name="equb">'Sheet1'!$F$19</definedName>
    <definedName name="equn">'Sheet1'!$D$19</definedName>
    <definedName name="fat">'Sheet1'!$E$13</definedName>
    <definedName name="fatb">'Sheet1'!$F$13</definedName>
    <definedName name="fatn">'Sheet1'!$D$13</definedName>
    <definedName name="hc">'Sheet1'!$J$24</definedName>
    <definedName name="hpv">'Sheet1'!$J$10</definedName>
    <definedName name="infection">'Sheet1'!$J$25</definedName>
    <definedName name="inu">'Sheet1'!$E$31</definedName>
    <definedName name="inun">'Sheet1'!$D$31</definedName>
    <definedName name="man">'Sheet1'!$E$16</definedName>
    <definedName name="manb">'Sheet1'!$F$16</definedName>
    <definedName name="mann">'Sheet1'!$D$16</definedName>
    <definedName name="mdv">'Sheet1'!$J$31</definedName>
    <definedName name="mel">'Sheet1'!$J$30</definedName>
    <definedName name="mem">'Sheet1'!$E$22</definedName>
    <definedName name="memn">'Sheet1'!$D$22</definedName>
    <definedName name="ml">'Sheet1'!$J$32</definedName>
    <definedName name="mp">'Sheet1'!$J$33</definedName>
    <definedName name="ocv">'Sheet1'!$J$8</definedName>
    <definedName name="pa">'Sheet1'!#REF!</definedName>
    <definedName name="pou">'Sheet1'!$E$10</definedName>
    <definedName name="poub">'Sheet1'!$F$10</definedName>
    <definedName name="poun">'Sheet1'!$D$10</definedName>
    <definedName name="pub">'Sheet1'!$F$9</definedName>
    <definedName name="pui">'Sheet1'!$E$9</definedName>
    <definedName name="puib">'Sheet1'!$F$9</definedName>
    <definedName name="puin">'Sheet1'!$D$9</definedName>
    <definedName name="rai">'Sheet1'!$E$21</definedName>
    <definedName name="rain">'Sheet1'!$D$21</definedName>
    <definedName name="rap">'Sheet1'!$E$28</definedName>
    <definedName name="rapn">'Sheet1'!$D$28</definedName>
    <definedName name="reg">'Sheet1'!$J$34</definedName>
    <definedName name="res">'Sheet1'!$E$25</definedName>
    <definedName name="resn">'Sheet1'!$D$25</definedName>
    <definedName name="rob">'Sheet1'!$E$34</definedName>
    <definedName name="robb">'Sheet1'!$F$34</definedName>
    <definedName name="robn">'Sheet1'!$D$34</definedName>
    <definedName name="san">'Sheet1'!$E$33</definedName>
    <definedName name="sanb">'Sheet1'!$F$33</definedName>
    <definedName name="sann">'Sheet1'!$D$33</definedName>
    <definedName name="sof">'Sheet1'!$E$12</definedName>
    <definedName name="sofb">'Sheet1'!$F$12</definedName>
    <definedName name="sofn">'Sheet1'!$D$12</definedName>
    <definedName name="sop">'Sheet1'!$E$18</definedName>
    <definedName name="sopb">'Sheet1'!$F$18</definedName>
    <definedName name="sopn">'Sheet1'!$D$18</definedName>
    <definedName name="sou">'Sheet1'!$E$12</definedName>
    <definedName name="voi">'Sheet1'!$E$27</definedName>
    <definedName name="voin">'Sheet1'!$D$27</definedName>
  </definedNames>
  <calcPr fullCalcOnLoad="1"/>
</workbook>
</file>

<file path=xl/sharedStrings.xml><?xml version="1.0" encoding="utf-8"?>
<sst xmlns="http://schemas.openxmlformats.org/spreadsheetml/2006/main" count="372" uniqueCount="324">
  <si>
    <t>Date Nais</t>
  </si>
  <si>
    <t>Taille</t>
  </si>
  <si>
    <t>Poids</t>
  </si>
  <si>
    <t>Cheveux</t>
  </si>
  <si>
    <t>Yeux</t>
  </si>
  <si>
    <t>Carrure</t>
  </si>
  <si>
    <t>Peau</t>
  </si>
  <si>
    <t>Pilosité</t>
  </si>
  <si>
    <t>Odeur</t>
  </si>
  <si>
    <t>Caractère</t>
  </si>
  <si>
    <t>Attitude</t>
  </si>
  <si>
    <t>Médical</t>
  </si>
  <si>
    <t>Manies</t>
  </si>
  <si>
    <t>Croyance</t>
  </si>
  <si>
    <t>Humour</t>
  </si>
  <si>
    <t>Spécial</t>
  </si>
  <si>
    <t>Caractéristique</t>
  </si>
  <si>
    <t>Courant</t>
  </si>
  <si>
    <t>Max</t>
  </si>
  <si>
    <t>for</t>
  </si>
  <si>
    <t>Puissance</t>
  </si>
  <si>
    <t>pui</t>
  </si>
  <si>
    <t>Pouvoir</t>
  </si>
  <si>
    <t>pou</t>
  </si>
  <si>
    <t>end</t>
  </si>
  <si>
    <t>Souffle</t>
  </si>
  <si>
    <t>sof</t>
  </si>
  <si>
    <t>Fatigue</t>
  </si>
  <si>
    <t>fat</t>
  </si>
  <si>
    <t>dex</t>
  </si>
  <si>
    <t>Coordination</t>
  </si>
  <si>
    <t>coo</t>
  </si>
  <si>
    <t>Manipulation</t>
  </si>
  <si>
    <t>man</t>
  </si>
  <si>
    <t>agi</t>
  </si>
  <si>
    <t>Souplesse</t>
  </si>
  <si>
    <t>sop</t>
  </si>
  <si>
    <t>Equilibre</t>
  </si>
  <si>
    <t>equ</t>
  </si>
  <si>
    <t>int</t>
  </si>
  <si>
    <t>Raisonnement</t>
  </si>
  <si>
    <t>rai</t>
  </si>
  <si>
    <t>Mémoire</t>
  </si>
  <si>
    <t>mem</t>
  </si>
  <si>
    <t>vol</t>
  </si>
  <si>
    <t>car</t>
  </si>
  <si>
    <t>Résistance</t>
  </si>
  <si>
    <t>res</t>
  </si>
  <si>
    <t>elo</t>
  </si>
  <si>
    <t>Voix</t>
  </si>
  <si>
    <t>voi</t>
  </si>
  <si>
    <t>Rapidité</t>
  </si>
  <si>
    <t>rap</t>
  </si>
  <si>
    <t>emp</t>
  </si>
  <si>
    <t>Compréhension</t>
  </si>
  <si>
    <t>com</t>
  </si>
  <si>
    <t>Intuition</t>
  </si>
  <si>
    <t>inu</t>
  </si>
  <si>
    <t>con</t>
  </si>
  <si>
    <t>Santé</t>
  </si>
  <si>
    <t>san</t>
  </si>
  <si>
    <t>Robustesse</t>
  </si>
  <si>
    <t>rob</t>
  </si>
  <si>
    <t>app</t>
  </si>
  <si>
    <t>Beauté</t>
  </si>
  <si>
    <t>bea</t>
  </si>
  <si>
    <t>Charisme</t>
  </si>
  <si>
    <t>cha</t>
  </si>
  <si>
    <t>Vue</t>
  </si>
  <si>
    <t>Ouïe</t>
  </si>
  <si>
    <t>Goût</t>
  </si>
  <si>
    <t>Odorat</t>
  </si>
  <si>
    <t>Toucher</t>
  </si>
  <si>
    <t>FORCE(1)</t>
  </si>
  <si>
    <t>ENDURANCE(12)</t>
  </si>
  <si>
    <t>DEXTERITE(1)</t>
  </si>
  <si>
    <t>AGILITE(12)</t>
  </si>
  <si>
    <t>INTELLIGENCE(234)</t>
  </si>
  <si>
    <t>VOLONTE(134)</t>
  </si>
  <si>
    <t>ELOQUENCE(3)</t>
  </si>
  <si>
    <t>EMPATHIE(234)</t>
  </si>
  <si>
    <t>CONSTITUTION(1)</t>
  </si>
  <si>
    <t>APPARENCE(3)</t>
  </si>
  <si>
    <t>Nat*Mul</t>
  </si>
  <si>
    <t>Tempo</t>
  </si>
  <si>
    <t>+/-</t>
  </si>
  <si>
    <t>CEL</t>
  </si>
  <si>
    <t>OCV</t>
  </si>
  <si>
    <t>DCV</t>
  </si>
  <si>
    <t>HPV</t>
  </si>
  <si>
    <t>DTV</t>
  </si>
  <si>
    <t>Dodge</t>
  </si>
  <si>
    <t>DIV</t>
  </si>
  <si>
    <t>Tiré</t>
  </si>
  <si>
    <t>Arraché</t>
  </si>
  <si>
    <t>MEL</t>
  </si>
  <si>
    <t>Mana L</t>
  </si>
  <si>
    <t>Mana P</t>
  </si>
  <si>
    <t>REG</t>
  </si>
  <si>
    <t>Energie</t>
  </si>
  <si>
    <t>Encomb.</t>
  </si>
  <si>
    <t>Mouv. R</t>
  </si>
  <si>
    <t>Points d'héroïsme</t>
  </si>
  <si>
    <t>Infection</t>
  </si>
  <si>
    <t>Maturité</t>
  </si>
  <si>
    <t>Sénior</t>
  </si>
  <si>
    <t>Sénil</t>
  </si>
  <si>
    <t>Art (EL)</t>
  </si>
  <si>
    <t>Psycho</t>
  </si>
  <si>
    <t>axe</t>
  </si>
  <si>
    <t>bow</t>
  </si>
  <si>
    <t>combat deftness%</t>
  </si>
  <si>
    <t>dagger figth</t>
  </si>
  <si>
    <t>dagger throw</t>
  </si>
  <si>
    <t>hand to hand</t>
  </si>
  <si>
    <t>heavy lance</t>
  </si>
  <si>
    <t>horse archery</t>
  </si>
  <si>
    <t>horse</t>
  </si>
  <si>
    <t>light lance</t>
  </si>
  <si>
    <t>mace</t>
  </si>
  <si>
    <t>maneuvring</t>
  </si>
  <si>
    <t>misc.thro.weap</t>
  </si>
  <si>
    <t>polearms</t>
  </si>
  <si>
    <t>repeating crossbow</t>
  </si>
  <si>
    <t>scimitar</t>
  </si>
  <si>
    <t>shield</t>
  </si>
  <si>
    <t>sling</t>
  </si>
  <si>
    <t>spear fight</t>
  </si>
  <si>
    <t>spear throw</t>
  </si>
  <si>
    <t>sword</t>
  </si>
  <si>
    <t>throwing axe</t>
  </si>
  <si>
    <t>two weapon fighting</t>
  </si>
  <si>
    <t>war staff</t>
  </si>
  <si>
    <t>xbow</t>
  </si>
  <si>
    <t>Other Skills</t>
  </si>
  <si>
    <t>actor</t>
  </si>
  <si>
    <t>armorer %</t>
  </si>
  <si>
    <t>artist %</t>
  </si>
  <si>
    <t>assassin</t>
  </si>
  <si>
    <t>astrologist %</t>
  </si>
  <si>
    <t>badlander %</t>
  </si>
  <si>
    <t>boatman %</t>
  </si>
  <si>
    <t>carrying %</t>
  </si>
  <si>
    <t>climbing</t>
  </si>
  <si>
    <t>dancer</t>
  </si>
  <si>
    <t>deftness %</t>
  </si>
  <si>
    <t>disguise %</t>
  </si>
  <si>
    <t>engineer %</t>
  </si>
  <si>
    <t>executioner</t>
  </si>
  <si>
    <t>fine cooking %</t>
  </si>
  <si>
    <t>forester %</t>
  </si>
  <si>
    <t>game keeper %</t>
  </si>
  <si>
    <t>games %</t>
  </si>
  <si>
    <t>healer</t>
  </si>
  <si>
    <t>heraldic %</t>
  </si>
  <si>
    <t>herbalist %</t>
  </si>
  <si>
    <t>husbandry %</t>
  </si>
  <si>
    <t>intrigue %</t>
  </si>
  <si>
    <t>jeweler %</t>
  </si>
  <si>
    <t>language another race %</t>
  </si>
  <si>
    <t>language own race %</t>
  </si>
  <si>
    <t>leather worker %</t>
  </si>
  <si>
    <t>locksmith %</t>
  </si>
  <si>
    <t>mason %</t>
  </si>
  <si>
    <t>maths %</t>
  </si>
  <si>
    <t>miner %</t>
  </si>
  <si>
    <t>moneylender %</t>
  </si>
  <si>
    <t>mountaineer %</t>
  </si>
  <si>
    <t>musician</t>
  </si>
  <si>
    <t>navigation %</t>
  </si>
  <si>
    <t>prestidigitator %</t>
  </si>
  <si>
    <t>read lips %</t>
  </si>
  <si>
    <t>read and write %</t>
  </si>
  <si>
    <t>rhetoric</t>
  </si>
  <si>
    <t>seaman %</t>
  </si>
  <si>
    <t>sign language %</t>
  </si>
  <si>
    <t>singer</t>
  </si>
  <si>
    <t>supernatural language %</t>
  </si>
  <si>
    <t>survival</t>
  </si>
  <si>
    <t>swimming</t>
  </si>
  <si>
    <t>textile worker %</t>
  </si>
  <si>
    <t>thief %</t>
  </si>
  <si>
    <t>tracking</t>
  </si>
  <si>
    <t>trailing %</t>
  </si>
  <si>
    <t>watercraft %</t>
  </si>
  <si>
    <t>woodcarving %</t>
  </si>
  <si>
    <t>Weapon</t>
  </si>
  <si>
    <t>s1</t>
  </si>
  <si>
    <t>s2</t>
  </si>
  <si>
    <t>s3</t>
  </si>
  <si>
    <t>heavy sword</t>
  </si>
  <si>
    <t>Erraflure-E</t>
  </si>
  <si>
    <t>Légère-L</t>
  </si>
  <si>
    <t>Moyenne-M</t>
  </si>
  <si>
    <t>Grave-G</t>
  </si>
  <si>
    <t>Incapacitante-I</t>
  </si>
  <si>
    <t>Mortelle-+</t>
  </si>
  <si>
    <t>de</t>
  </si>
  <si>
    <t>à</t>
  </si>
  <si>
    <t>1/2</t>
  </si>
  <si>
    <t>Normal</t>
  </si>
  <si>
    <t>Léger</t>
  </si>
  <si>
    <t>Moyen</t>
  </si>
  <si>
    <t>Grave</t>
  </si>
  <si>
    <t>Incap</t>
  </si>
  <si>
    <t>Coma</t>
  </si>
  <si>
    <t>Spécifique</t>
  </si>
  <si>
    <r>
      <t>Test sans le talent</t>
    </r>
    <r>
      <rPr>
        <sz val="10"/>
        <rFont val="Verdana"/>
        <family val="2"/>
      </rPr>
      <t xml:space="preserve"> : (base%/2) + difficulté du test pour un </t>
    </r>
    <r>
      <rPr>
        <b/>
        <sz val="10"/>
        <rFont val="Verdana"/>
        <family val="2"/>
      </rPr>
      <t>partiel (+1/+3/+5/+10/+20)</t>
    </r>
  </si>
  <si>
    <t xml:space="preserve">D100&lt;= </t>
  </si>
  <si>
    <t>…si &gt;=</t>
  </si>
  <si>
    <t>Effet</t>
  </si>
  <si>
    <t>-1</t>
  </si>
  <si>
    <t>-2</t>
  </si>
  <si>
    <t>-3</t>
  </si>
  <si>
    <t>inactif</t>
  </si>
  <si>
    <t>no rush</t>
  </si>
  <si>
    <t>no run</t>
  </si>
  <si>
    <t>no move</t>
  </si>
  <si>
    <t>no bonus</t>
  </si>
  <si>
    <t>Physique</t>
  </si>
  <si>
    <t>Intellect</t>
  </si>
  <si>
    <t>Abbrev.</t>
  </si>
  <si>
    <t>Ages</t>
  </si>
  <si>
    <t>Tête</t>
  </si>
  <si>
    <t>T</t>
  </si>
  <si>
    <t>Thorax</t>
  </si>
  <si>
    <t>Th</t>
  </si>
  <si>
    <t>End</t>
  </si>
  <si>
    <t>Bras</t>
  </si>
  <si>
    <t>For</t>
  </si>
  <si>
    <t>Main</t>
  </si>
  <si>
    <t>Dex</t>
  </si>
  <si>
    <t>Ventre</t>
  </si>
  <si>
    <t>V</t>
  </si>
  <si>
    <t>End + Agi + Con</t>
  </si>
  <si>
    <t>Jambe</t>
  </si>
  <si>
    <t>Agi</t>
  </si>
  <si>
    <t>Pied</t>
  </si>
  <si>
    <t>Int+Vol+Elo+Emp+App</t>
  </si>
  <si>
    <t>Endroit</t>
  </si>
  <si>
    <t>BD</t>
  </si>
  <si>
    <t>BG</t>
  </si>
  <si>
    <t>MD</t>
  </si>
  <si>
    <t>JD</t>
  </si>
  <si>
    <t>PD</t>
  </si>
  <si>
    <t>PG</t>
  </si>
  <si>
    <t>JG</t>
  </si>
  <si>
    <t>MG</t>
  </si>
  <si>
    <t>Malus</t>
  </si>
  <si>
    <t>Récupérations</t>
  </si>
  <si>
    <r>
      <t>Concussion</t>
    </r>
    <r>
      <rPr>
        <sz val="10"/>
        <rFont val="Verdana"/>
        <family val="2"/>
      </rPr>
      <t>- récup par h :</t>
    </r>
  </si>
  <si>
    <t>1 malus /</t>
  </si>
  <si>
    <t>Abbr.</t>
  </si>
  <si>
    <t>Notes sur blessures</t>
  </si>
  <si>
    <t>Armes et armures</t>
  </si>
  <si>
    <t>Notes</t>
  </si>
  <si>
    <t>remarque</t>
  </si>
  <si>
    <t>HC par jour tant que l'on est blessé !</t>
  </si>
  <si>
    <t xml:space="preserve">Choc </t>
  </si>
  <si>
    <t xml:space="preserve">HC </t>
  </si>
  <si>
    <t xml:space="preserve">MDV </t>
  </si>
  <si>
    <t>Poison</t>
  </si>
  <si>
    <t>Influence</t>
  </si>
  <si>
    <t>Nourriture</t>
  </si>
  <si>
    <t>Armure1</t>
  </si>
  <si>
    <t>Armure2</t>
  </si>
  <si>
    <t>Armure3</t>
  </si>
  <si>
    <t>Armures</t>
  </si>
  <si>
    <t>Armes</t>
  </si>
  <si>
    <t>Total</t>
  </si>
  <si>
    <t>Nom</t>
  </si>
  <si>
    <t>Classe Ini</t>
  </si>
  <si>
    <t>kg</t>
  </si>
  <si>
    <t>cm</t>
  </si>
  <si>
    <t>type</t>
  </si>
  <si>
    <t>Estoc</t>
  </si>
  <si>
    <t>Concuss</t>
  </si>
  <si>
    <t>Subdual</t>
  </si>
  <si>
    <t>Critical</t>
  </si>
  <si>
    <t>Si le coup infligé est &gt; R alors R-1,… à R=0 l'arme se casse</t>
  </si>
  <si>
    <t>R</t>
  </si>
  <si>
    <t>Classe actuelle+/-</t>
  </si>
  <si>
    <t>Classe : A=30 / B=25 / C=20 / D=15 / E=10</t>
  </si>
  <si>
    <r>
      <t xml:space="preserve">entretien et réparations quotidien des </t>
    </r>
    <r>
      <rPr>
        <b/>
        <i/>
        <u val="single"/>
        <sz val="10"/>
        <rFont val="Verdana"/>
        <family val="2"/>
      </rPr>
      <t>armes</t>
    </r>
    <r>
      <rPr>
        <i/>
        <sz val="10"/>
        <rFont val="Verdana"/>
        <family val="2"/>
      </rPr>
      <t xml:space="preserve"> : 1x par jour et 1/2 h par arme et test Armorer, si réussi alors gain de 1 points mais jamais plus haut que 0 ou que le la R initiale</t>
    </r>
  </si>
  <si>
    <t>Perte de conscience</t>
  </si>
  <si>
    <t>+</t>
  </si>
  <si>
    <t>Proba</t>
  </si>
  <si>
    <t>Points accumulés</t>
  </si>
  <si>
    <t>plus de pts</t>
  </si>
  <si>
    <t>les malus dûs à l'énergie sont valables pour tous les tests !</t>
  </si>
  <si>
    <t xml:space="preserve">durée = points minutes ... si "partial" alors "stun" </t>
  </si>
  <si>
    <t>Classes de tests</t>
  </si>
  <si>
    <t>Vitesse</t>
  </si>
  <si>
    <t>Armure 1</t>
  </si>
  <si>
    <t>Armure 2</t>
  </si>
  <si>
    <t>Armure 3</t>
  </si>
  <si>
    <t>Résis.</t>
  </si>
  <si>
    <t>Critique</t>
  </si>
  <si>
    <t>prix/poids</t>
  </si>
  <si>
    <t>EL arme</t>
  </si>
  <si>
    <t>3 à 4,5</t>
  </si>
  <si>
    <t>1,5 à 2,5</t>
  </si>
  <si>
    <t>0 à 1</t>
  </si>
  <si>
    <t>5 à 8,5</t>
  </si>
  <si>
    <t>9 à 16</t>
  </si>
  <si>
    <t>&lt;16+dtv</t>
  </si>
  <si>
    <t>Si le coup pris est &gt; R du total d'armure alors cette R = R-1 !</t>
  </si>
  <si>
    <t>+1d3 /CEL ou MEL</t>
  </si>
  <si>
    <t>Base
%  Lvl</t>
  </si>
  <si>
    <t>Max
% Lvl</t>
  </si>
  <si>
    <t>Cur
LVL</t>
  </si>
  <si>
    <r>
      <t xml:space="preserve">Etat général -1, -1D6 </t>
    </r>
    <r>
      <rPr>
        <b/>
        <sz val="10"/>
        <rFont val="Verdana"/>
        <family val="2"/>
      </rPr>
      <t>malus</t>
    </r>
    <r>
      <rPr>
        <sz val="10"/>
        <rFont val="Verdana"/>
        <family val="2"/>
      </rPr>
      <t xml:space="preserve"> dans la plus grosse blessure et 1 point de temporaire par caractéristique diminuée
Etat général +1 et +1D6 </t>
    </r>
    <r>
      <rPr>
        <b/>
        <sz val="10"/>
        <rFont val="Verdana"/>
        <family val="2"/>
      </rPr>
      <t>malus</t>
    </r>
    <r>
      <rPr>
        <sz val="10"/>
        <rFont val="Verdana"/>
        <family val="2"/>
      </rPr>
      <t xml:space="preserve"> dans la plus grosse blessure</t>
    </r>
  </si>
  <si>
    <t>1D6 points d'énergie récupéré(s)</t>
  </si>
  <si>
    <t>Malus locaux</t>
  </si>
  <si>
    <t>Test affectés</t>
  </si>
  <si>
    <t>Etat Général</t>
  </si>
  <si>
    <t>Energie perdue</t>
  </si>
  <si>
    <t>Partial</t>
  </si>
  <si>
    <t>Etat général</t>
  </si>
  <si>
    <t>Blessure</t>
  </si>
  <si>
    <t>Pts Etat</t>
  </si>
  <si>
    <t>Porté</t>
  </si>
  <si>
    <t>perte*2 /an</t>
  </si>
  <si>
    <t>perte /an</t>
  </si>
</sst>
</file>

<file path=xl/styles.xml><?xml version="1.0" encoding="utf-8"?>
<styleSheet xmlns="http://schemas.openxmlformats.org/spreadsheetml/2006/main">
  <numFmts count="27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\ %"/>
    <numFmt numFmtId="173" formatCode="\+0\ ;\-0\ "/>
    <numFmt numFmtId="174" formatCode="0\ \'%"/>
    <numFmt numFmtId="175" formatCode="0\ _%"/>
    <numFmt numFmtId="176" formatCode="0\ &quot;%&quot;"/>
    <numFmt numFmtId="177" formatCode="\+\ 0\ &quot;%&quot;"/>
    <numFmt numFmtId="178" formatCode="0\ &quot;kg&quot;"/>
    <numFmt numFmtId="179" formatCode="0\ &quot;à&quot;"/>
    <numFmt numFmtId="180" formatCode="0\ &quot;points&quot;"/>
    <numFmt numFmtId="181" formatCode="\+\ 0\ &quot;%&quot;;\ \-\ 0\ &quot;%&quot;"/>
    <numFmt numFmtId="182" formatCode="\+\ 0\ &quot;%&quot;;\ \-\ 0\ &quot;%&quot;;"/>
  </numFmts>
  <fonts count="1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u val="single"/>
      <sz val="10"/>
      <name val="Verdana"/>
      <family val="2"/>
    </font>
    <font>
      <b/>
      <i/>
      <u val="single"/>
      <sz val="10"/>
      <name val="Verdana"/>
      <family val="2"/>
    </font>
    <font>
      <u val="single"/>
      <sz val="8"/>
      <name val="Verdana"/>
      <family val="2"/>
    </font>
    <font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9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16" fontId="7" fillId="0" borderId="47" xfId="0" applyNumberFormat="1" applyFont="1" applyBorder="1" applyAlignment="1" quotePrefix="1">
      <alignment horizontal="center"/>
    </xf>
    <xf numFmtId="0" fontId="7" fillId="2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7" fillId="0" borderId="25" xfId="0" applyFont="1" applyBorder="1" applyAlignment="1">
      <alignment horizontal="left" wrapText="1"/>
    </xf>
    <xf numFmtId="0" fontId="1" fillId="0" borderId="5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7" xfId="0" applyFont="1" applyBorder="1" applyAlignment="1" quotePrefix="1">
      <alignment horizontal="center"/>
    </xf>
    <xf numFmtId="0" fontId="1" fillId="2" borderId="27" xfId="0" applyFont="1" applyFill="1" applyBorder="1" applyAlignment="1" quotePrefix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24" xfId="0" applyFont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53" xfId="0" applyFont="1" applyBorder="1" applyAlignment="1">
      <alignment/>
    </xf>
    <xf numFmtId="0" fontId="1" fillId="0" borderId="58" xfId="0" applyFont="1" applyBorder="1" applyAlignment="1">
      <alignment/>
    </xf>
    <xf numFmtId="0" fontId="3" fillId="0" borderId="55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6" fillId="0" borderId="53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5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9" fontId="3" fillId="0" borderId="9" xfId="0" applyNumberFormat="1" applyFont="1" applyBorder="1" applyAlignment="1">
      <alignment/>
    </xf>
    <xf numFmtId="9" fontId="3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9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9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9" fontId="3" fillId="0" borderId="25" xfId="0" applyNumberFormat="1" applyFont="1" applyBorder="1" applyAlignment="1">
      <alignment/>
    </xf>
    <xf numFmtId="0" fontId="1" fillId="0" borderId="61" xfId="0" applyFont="1" applyBorder="1" applyAlignment="1">
      <alignment/>
    </xf>
    <xf numFmtId="176" fontId="1" fillId="0" borderId="26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6" fontId="1" fillId="0" borderId="28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0" xfId="0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62" xfId="0" applyFont="1" applyFill="1" applyBorder="1" applyAlignment="1">
      <alignment/>
    </xf>
    <xf numFmtId="0" fontId="2" fillId="0" borderId="63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67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76" fontId="1" fillId="0" borderId="67" xfId="0" applyNumberFormat="1" applyFont="1" applyBorder="1" applyAlignment="1">
      <alignment/>
    </xf>
    <xf numFmtId="176" fontId="1" fillId="0" borderId="48" xfId="0" applyNumberFormat="1" applyFont="1" applyBorder="1" applyAlignment="1">
      <alignment/>
    </xf>
    <xf numFmtId="173" fontId="1" fillId="0" borderId="24" xfId="0" applyNumberFormat="1" applyFont="1" applyBorder="1" applyAlignment="1">
      <alignment/>
    </xf>
    <xf numFmtId="173" fontId="1" fillId="0" borderId="26" xfId="0" applyNumberFormat="1" applyFont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23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178" fontId="1" fillId="0" borderId="24" xfId="0" applyNumberFormat="1" applyFont="1" applyBorder="1" applyAlignment="1">
      <alignment/>
    </xf>
    <xf numFmtId="178" fontId="1" fillId="0" borderId="28" xfId="0" applyNumberFormat="1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49" xfId="0" applyNumberFormat="1" applyFont="1" applyBorder="1" applyAlignment="1">
      <alignment horizontal="center"/>
    </xf>
    <xf numFmtId="179" fontId="1" fillId="0" borderId="14" xfId="0" applyNumberFormat="1" applyFont="1" applyBorder="1" applyAlignment="1">
      <alignment horizontal="center"/>
    </xf>
    <xf numFmtId="179" fontId="1" fillId="0" borderId="18" xfId="0" applyNumberFormat="1" applyFont="1" applyBorder="1" applyAlignment="1">
      <alignment horizontal="center"/>
    </xf>
    <xf numFmtId="0" fontId="1" fillId="0" borderId="6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176" fontId="1" fillId="0" borderId="68" xfId="0" applyNumberFormat="1" applyFont="1" applyBorder="1" applyAlignment="1">
      <alignment horizontal="center"/>
    </xf>
    <xf numFmtId="176" fontId="1" fillId="0" borderId="69" xfId="0" applyNumberFormat="1" applyFont="1" applyBorder="1" applyAlignment="1">
      <alignment horizontal="center"/>
    </xf>
    <xf numFmtId="176" fontId="1" fillId="0" borderId="70" xfId="0" applyNumberFormat="1" applyFont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180" fontId="1" fillId="0" borderId="8" xfId="0" applyNumberFormat="1" applyFont="1" applyBorder="1" applyAlignment="1">
      <alignment horizontal="left"/>
    </xf>
    <xf numFmtId="0" fontId="1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48" xfId="0" applyFont="1" applyBorder="1" applyAlignment="1">
      <alignment/>
    </xf>
    <xf numFmtId="14" fontId="3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74" xfId="0" applyFont="1" applyBorder="1" applyAlignment="1">
      <alignment vertical="top" wrapText="1"/>
    </xf>
    <xf numFmtId="0" fontId="3" fillId="0" borderId="75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81" fontId="1" fillId="0" borderId="40" xfId="0" applyNumberFormat="1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2" borderId="74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29" xfId="0" applyFont="1" applyBorder="1" applyAlignment="1" quotePrefix="1">
      <alignment wrapText="1"/>
    </xf>
    <xf numFmtId="0" fontId="2" fillId="0" borderId="29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3" fillId="0" borderId="4" xfId="0" applyFont="1" applyBorder="1" applyAlignment="1" quotePrefix="1">
      <alignment/>
    </xf>
    <xf numFmtId="0" fontId="10" fillId="0" borderId="3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4" fillId="0" borderId="5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82" fontId="1" fillId="0" borderId="40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16" fontId="1" fillId="2" borderId="27" xfId="0" applyNumberFormat="1" applyFont="1" applyFill="1" applyBorder="1" applyAlignment="1" quotePrefix="1">
      <alignment horizontal="right"/>
    </xf>
    <xf numFmtId="0" fontId="1" fillId="0" borderId="27" xfId="0" applyFont="1" applyBorder="1" applyAlignment="1" quotePrefix="1">
      <alignment horizontal="right"/>
    </xf>
    <xf numFmtId="0" fontId="1" fillId="2" borderId="25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25" xfId="0" applyFont="1" applyBorder="1" applyAlignment="1">
      <alignment/>
    </xf>
    <xf numFmtId="176" fontId="10" fillId="0" borderId="26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2"/>
  <sheetViews>
    <sheetView tabSelected="1" workbookViewId="0" topLeftCell="A31">
      <selection activeCell="D55" sqref="D55"/>
    </sheetView>
  </sheetViews>
  <sheetFormatPr defaultColWidth="9.140625" defaultRowHeight="12.75"/>
  <cols>
    <col min="1" max="1" width="10.421875" style="4" customWidth="1"/>
    <col min="2" max="2" width="9.57421875" style="4" customWidth="1"/>
    <col min="3" max="8" width="9.140625" style="4" customWidth="1"/>
    <col min="9" max="9" width="9.7109375" style="4" customWidth="1"/>
    <col min="10" max="10" width="9.140625" style="4" customWidth="1"/>
    <col min="11" max="11" width="5.8515625" style="39" customWidth="1"/>
    <col min="12" max="12" width="15.28125" style="4" customWidth="1"/>
    <col min="13" max="13" width="5.28125" style="4" hidden="1" customWidth="1"/>
    <col min="14" max="15" width="5.57421875" style="4" hidden="1" customWidth="1"/>
    <col min="16" max="19" width="3.7109375" style="45" customWidth="1"/>
    <col min="20" max="20" width="4.7109375" style="45" customWidth="1"/>
    <col min="21" max="21" width="14.7109375" style="45" customWidth="1"/>
    <col min="22" max="22" width="16.7109375" style="4" customWidth="1"/>
    <col min="23" max="24" width="5.140625" style="4" hidden="1" customWidth="1"/>
    <col min="25" max="25" width="0.13671875" style="4" hidden="1" customWidth="1"/>
    <col min="26" max="29" width="3.7109375" style="4" customWidth="1"/>
    <col min="30" max="30" width="5.57421875" style="4" customWidth="1"/>
    <col min="31" max="31" width="13.7109375" style="4" customWidth="1"/>
    <col min="32" max="40" width="9.140625" style="4" customWidth="1"/>
    <col min="41" max="41" width="12.7109375" style="4" customWidth="1"/>
    <col min="42" max="16384" width="9.140625" style="4" customWidth="1"/>
  </cols>
  <sheetData>
    <row r="1" spans="1:42" ht="14.25" thickBot="1">
      <c r="A1" s="131" t="s">
        <v>0</v>
      </c>
      <c r="B1" s="132" t="s">
        <v>1</v>
      </c>
      <c r="C1" s="132" t="s">
        <v>2</v>
      </c>
      <c r="D1" s="132" t="s">
        <v>3</v>
      </c>
      <c r="E1" s="132" t="s">
        <v>4</v>
      </c>
      <c r="F1" s="132" t="s">
        <v>5</v>
      </c>
      <c r="G1" s="132" t="s">
        <v>6</v>
      </c>
      <c r="H1" s="132" t="s">
        <v>7</v>
      </c>
      <c r="I1" s="132" t="s">
        <v>8</v>
      </c>
      <c r="J1" s="3"/>
      <c r="L1" s="33" t="s">
        <v>102</v>
      </c>
      <c r="M1" s="40"/>
      <c r="N1" s="40"/>
      <c r="O1" s="40"/>
      <c r="P1" s="42"/>
      <c r="Q1" s="42"/>
      <c r="R1" s="42"/>
      <c r="S1" s="42"/>
      <c r="T1" s="42"/>
      <c r="U1" s="42"/>
      <c r="V1" s="40"/>
      <c r="W1" s="40"/>
      <c r="X1" s="40"/>
      <c r="Y1" s="40"/>
      <c r="Z1" s="40"/>
      <c r="AA1" s="40"/>
      <c r="AB1" s="40"/>
      <c r="AC1" s="40"/>
      <c r="AD1" s="40"/>
      <c r="AE1" s="9"/>
      <c r="AF1" s="143" t="s">
        <v>249</v>
      </c>
      <c r="AG1" s="40"/>
      <c r="AH1" s="40"/>
      <c r="AI1" s="9"/>
      <c r="AP1" s="173" t="s">
        <v>254</v>
      </c>
    </row>
    <row r="2" spans="1:51" s="36" customFormat="1" ht="24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30"/>
      <c r="K2" s="49"/>
      <c r="L2" s="243" t="s">
        <v>255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48"/>
      <c r="AP2" s="265" t="s">
        <v>283</v>
      </c>
      <c r="AQ2" s="266"/>
      <c r="AR2" s="266"/>
      <c r="AS2" s="266"/>
      <c r="AT2" s="266"/>
      <c r="AU2" s="266"/>
      <c r="AV2" s="266"/>
      <c r="AW2" s="266"/>
      <c r="AX2" s="266"/>
      <c r="AY2" s="266"/>
    </row>
    <row r="3" spans="1:51" ht="13.5" customHeight="1" thickBot="1">
      <c r="A3" s="133" t="s">
        <v>9</v>
      </c>
      <c r="B3" s="134" t="s">
        <v>10</v>
      </c>
      <c r="C3" s="134" t="s">
        <v>11</v>
      </c>
      <c r="D3" s="134" t="s">
        <v>108</v>
      </c>
      <c r="E3" s="134" t="s">
        <v>12</v>
      </c>
      <c r="F3" s="134" t="s">
        <v>13</v>
      </c>
      <c r="G3" s="134" t="s">
        <v>14</v>
      </c>
      <c r="H3" s="134" t="s">
        <v>107</v>
      </c>
      <c r="I3" s="134" t="s">
        <v>15</v>
      </c>
      <c r="J3" s="8"/>
      <c r="L3" s="245" t="s">
        <v>255</v>
      </c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7"/>
      <c r="AF3" s="106" t="s">
        <v>208</v>
      </c>
      <c r="AG3" s="144">
        <f>hc</f>
        <v>56</v>
      </c>
      <c r="AH3" s="272" t="s">
        <v>311</v>
      </c>
      <c r="AI3" s="273"/>
      <c r="AJ3" s="273"/>
      <c r="AK3" s="273"/>
      <c r="AL3" s="273"/>
      <c r="AM3" s="273"/>
      <c r="AN3" s="273"/>
      <c r="AO3" s="273"/>
      <c r="AP3" s="241" t="s">
        <v>267</v>
      </c>
      <c r="AQ3" s="18" t="s">
        <v>270</v>
      </c>
      <c r="AR3" s="18" t="s">
        <v>298</v>
      </c>
      <c r="AS3" s="18" t="s">
        <v>1</v>
      </c>
      <c r="AT3" s="18" t="s">
        <v>275</v>
      </c>
      <c r="AU3" s="18" t="s">
        <v>276</v>
      </c>
      <c r="AV3" s="18" t="s">
        <v>296</v>
      </c>
      <c r="AW3" s="18" t="s">
        <v>297</v>
      </c>
      <c r="AX3" s="18" t="s">
        <v>299</v>
      </c>
      <c r="AY3" s="18" t="s">
        <v>292</v>
      </c>
    </row>
    <row r="4" spans="1:51" s="36" customFormat="1" ht="26.25" customHeight="1" thickBot="1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49"/>
      <c r="L4" s="248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50"/>
      <c r="AF4" s="107" t="s">
        <v>209</v>
      </c>
      <c r="AG4" s="145">
        <f>infection</f>
        <v>96</v>
      </c>
      <c r="AH4" s="274"/>
      <c r="AI4" s="274"/>
      <c r="AJ4" s="274"/>
      <c r="AK4" s="274"/>
      <c r="AL4" s="274"/>
      <c r="AM4" s="274"/>
      <c r="AN4" s="274"/>
      <c r="AO4" s="274"/>
      <c r="AP4" s="18" t="s">
        <v>293</v>
      </c>
      <c r="AQ4" s="18"/>
      <c r="AR4" s="18"/>
      <c r="AS4" s="18"/>
      <c r="AT4" s="18"/>
      <c r="AU4" s="18"/>
      <c r="AV4" s="18"/>
      <c r="AW4" s="18"/>
      <c r="AX4" s="18"/>
      <c r="AY4" s="18"/>
    </row>
    <row r="5" spans="1:51" ht="23.25" customHeight="1" thickBot="1">
      <c r="A5" s="233"/>
      <c r="B5" s="234"/>
      <c r="C5" s="234"/>
      <c r="D5" s="234"/>
      <c r="E5" s="234"/>
      <c r="F5" s="234"/>
      <c r="G5" s="234"/>
      <c r="H5" s="234"/>
      <c r="I5" s="234"/>
      <c r="J5" s="234"/>
      <c r="L5" s="39"/>
      <c r="M5" s="39"/>
      <c r="N5" s="39"/>
      <c r="O5" s="39"/>
      <c r="P5" s="44"/>
      <c r="Q5" s="44"/>
      <c r="R5" s="44"/>
      <c r="S5" s="44"/>
      <c r="T5" s="44"/>
      <c r="U5" s="44"/>
      <c r="V5" s="39"/>
      <c r="W5" s="39"/>
      <c r="X5" s="39"/>
      <c r="Y5" s="39"/>
      <c r="Z5" s="39"/>
      <c r="AF5" s="155" t="s">
        <v>208</v>
      </c>
      <c r="AG5" s="156">
        <f>san</f>
        <v>64</v>
      </c>
      <c r="AH5" s="157" t="s">
        <v>312</v>
      </c>
      <c r="AI5" s="157"/>
      <c r="AJ5" s="157"/>
      <c r="AK5" s="157"/>
      <c r="AL5" s="40"/>
      <c r="AM5" s="40"/>
      <c r="AN5" s="40"/>
      <c r="AO5" s="40"/>
      <c r="AP5" s="18" t="s">
        <v>294</v>
      </c>
      <c r="AQ5" s="18"/>
      <c r="AR5" s="18"/>
      <c r="AS5" s="18"/>
      <c r="AT5" s="18"/>
      <c r="AU5" s="18"/>
      <c r="AV5" s="18"/>
      <c r="AW5" s="18"/>
      <c r="AX5" s="18"/>
      <c r="AY5" s="18"/>
    </row>
    <row r="6" spans="12:51" ht="12.75" thickBot="1">
      <c r="L6" s="41" t="s">
        <v>207</v>
      </c>
      <c r="M6" s="39"/>
      <c r="N6" s="39"/>
      <c r="O6" s="39"/>
      <c r="P6" s="44"/>
      <c r="Q6" s="44"/>
      <c r="R6" s="44"/>
      <c r="S6" s="44"/>
      <c r="T6" s="44"/>
      <c r="U6" s="44"/>
      <c r="V6" s="39"/>
      <c r="W6" s="39"/>
      <c r="X6" s="39"/>
      <c r="Y6" s="39"/>
      <c r="Z6" s="39"/>
      <c r="AF6" s="223" t="s">
        <v>256</v>
      </c>
      <c r="AG6" s="224">
        <f>IF(sanb&gt;0,sanb,1)</f>
        <v>3</v>
      </c>
      <c r="AH6" s="36" t="s">
        <v>257</v>
      </c>
      <c r="AI6" s="36"/>
      <c r="AJ6" s="36"/>
      <c r="AK6" s="36"/>
      <c r="AP6" s="18" t="s">
        <v>295</v>
      </c>
      <c r="AQ6" s="18"/>
      <c r="AR6" s="18"/>
      <c r="AS6" s="18"/>
      <c r="AT6" s="18"/>
      <c r="AU6" s="18"/>
      <c r="AV6" s="18"/>
      <c r="AW6" s="18"/>
      <c r="AX6" s="18"/>
      <c r="AY6" s="18"/>
    </row>
    <row r="7" spans="1:42" s="13" customFormat="1" ht="24" customHeight="1" thickBot="1">
      <c r="A7" s="10" t="s">
        <v>16</v>
      </c>
      <c r="B7" s="11"/>
      <c r="C7" s="242" t="s">
        <v>221</v>
      </c>
      <c r="D7" s="242" t="s">
        <v>83</v>
      </c>
      <c r="E7" s="242" t="s">
        <v>17</v>
      </c>
      <c r="F7" s="340" t="s">
        <v>85</v>
      </c>
      <c r="G7" s="242" t="s">
        <v>18</v>
      </c>
      <c r="H7" s="242" t="s">
        <v>84</v>
      </c>
      <c r="I7" s="29" t="s">
        <v>86</v>
      </c>
      <c r="J7" s="34">
        <v>3</v>
      </c>
      <c r="K7" s="41"/>
      <c r="L7" s="54" t="s">
        <v>186</v>
      </c>
      <c r="M7" s="55" t="s">
        <v>187</v>
      </c>
      <c r="N7" s="55" t="s">
        <v>188</v>
      </c>
      <c r="O7" s="55" t="s">
        <v>189</v>
      </c>
      <c r="P7" s="291" t="s">
        <v>308</v>
      </c>
      <c r="Q7" s="291"/>
      <c r="R7" s="291" t="s">
        <v>309</v>
      </c>
      <c r="S7" s="291"/>
      <c r="T7" s="56" t="s">
        <v>310</v>
      </c>
      <c r="U7" s="57" t="s">
        <v>206</v>
      </c>
      <c r="V7" s="54" t="s">
        <v>134</v>
      </c>
      <c r="W7" s="55" t="s">
        <v>187</v>
      </c>
      <c r="X7" s="55" t="s">
        <v>188</v>
      </c>
      <c r="Y7" s="55" t="s">
        <v>189</v>
      </c>
      <c r="Z7" s="291" t="s">
        <v>308</v>
      </c>
      <c r="AA7" s="291"/>
      <c r="AB7" s="291" t="s">
        <v>309</v>
      </c>
      <c r="AC7" s="291"/>
      <c r="AD7" s="292" t="s">
        <v>310</v>
      </c>
      <c r="AE7" s="97" t="s">
        <v>206</v>
      </c>
      <c r="AP7" s="202" t="s">
        <v>306</v>
      </c>
    </row>
    <row r="8" spans="1:51" ht="12.75" thickBot="1">
      <c r="A8" s="24" t="s">
        <v>73</v>
      </c>
      <c r="B8" s="14"/>
      <c r="C8" s="2" t="s">
        <v>19</v>
      </c>
      <c r="D8" s="330"/>
      <c r="E8" s="287"/>
      <c r="F8" s="331"/>
      <c r="G8" s="332"/>
      <c r="H8" s="15"/>
      <c r="I8" s="30" t="s">
        <v>87</v>
      </c>
      <c r="J8" s="31">
        <f>cel+poub+sofb</f>
        <v>8</v>
      </c>
      <c r="L8" s="98" t="s">
        <v>109</v>
      </c>
      <c r="M8" s="78">
        <f>pui</f>
        <v>51</v>
      </c>
      <c r="N8" s="52">
        <f>pou</f>
        <v>51</v>
      </c>
      <c r="O8" s="52">
        <f>fat</f>
        <v>31</v>
      </c>
      <c r="P8" s="318">
        <f aca="true" t="shared" si="0" ref="P8:P33">ROUNDUP(M8/2,0)</f>
        <v>26</v>
      </c>
      <c r="Q8" s="239">
        <f aca="true" t="shared" si="1" ref="Q8:Q33">ROUNDUP(M8/10,0)</f>
        <v>6</v>
      </c>
      <c r="R8" s="284">
        <f>ROUNDUP((3*M8+2*N8+O8)/4,0)</f>
        <v>72</v>
      </c>
      <c r="S8" s="240">
        <f>ROUNDUP((3*M8+2*N8+O8)/30,0)</f>
        <v>10</v>
      </c>
      <c r="T8" s="53"/>
      <c r="U8" s="58"/>
      <c r="V8" s="98" t="s">
        <v>135</v>
      </c>
      <c r="W8" s="60">
        <f>car</f>
        <v>22</v>
      </c>
      <c r="X8" s="60">
        <f>voi</f>
        <v>7</v>
      </c>
      <c r="Y8" s="60">
        <f>man</f>
        <v>32</v>
      </c>
      <c r="Z8" s="321">
        <f>ROUNDUP(W8/2,0)</f>
        <v>11</v>
      </c>
      <c r="AA8" s="239">
        <f>ROUNDUP(W8/10,0)</f>
        <v>3</v>
      </c>
      <c r="AB8" s="284">
        <f aca="true" t="shared" si="2" ref="AB8:AB52">ROUNDUP((3*W8+2*X8+Y8)/4,0)</f>
        <v>28</v>
      </c>
      <c r="AC8" s="240">
        <f>ROUNDUP((3*W8+2*X8+Y8)/30,0)</f>
        <v>4</v>
      </c>
      <c r="AD8" s="52"/>
      <c r="AE8" s="61"/>
      <c r="AF8" s="140" t="s">
        <v>239</v>
      </c>
      <c r="AG8" s="141" t="s">
        <v>252</v>
      </c>
      <c r="AH8" s="142" t="s">
        <v>314</v>
      </c>
      <c r="AI8" s="141"/>
      <c r="AJ8" s="262" t="s">
        <v>313</v>
      </c>
      <c r="AK8" s="263"/>
      <c r="AL8" s="263"/>
      <c r="AM8" s="263"/>
      <c r="AN8" s="263"/>
      <c r="AO8" s="264"/>
      <c r="AP8" s="175" t="s">
        <v>239</v>
      </c>
      <c r="AQ8" s="12" t="s">
        <v>252</v>
      </c>
      <c r="AR8" s="50" t="s">
        <v>264</v>
      </c>
      <c r="AS8" s="37"/>
      <c r="AT8" s="50" t="s">
        <v>265</v>
      </c>
      <c r="AU8" s="37"/>
      <c r="AV8" s="50" t="s">
        <v>266</v>
      </c>
      <c r="AW8" s="37"/>
      <c r="AX8" s="50" t="s">
        <v>269</v>
      </c>
      <c r="AY8" s="9"/>
    </row>
    <row r="9" spans="1:51" ht="12.75" thickBot="1">
      <c r="A9" s="16" t="s">
        <v>20</v>
      </c>
      <c r="B9" s="17"/>
      <c r="C9" s="18" t="s">
        <v>21</v>
      </c>
      <c r="D9" s="333">
        <v>17</v>
      </c>
      <c r="E9" s="334">
        <v>51</v>
      </c>
      <c r="F9" s="335">
        <f>IF(E9&gt;104,5,IF(E9&gt;75,4,IF(E9&gt;50,3,IF(E9&gt;30,2,IF(E9&gt;15,1,0)))))</f>
        <v>3</v>
      </c>
      <c r="G9" s="333">
        <v>68</v>
      </c>
      <c r="H9" s="19"/>
      <c r="I9" s="30" t="s">
        <v>88</v>
      </c>
      <c r="J9" s="31">
        <f>cel+sopb+coob</f>
        <v>7</v>
      </c>
      <c r="L9" s="99" t="s">
        <v>110</v>
      </c>
      <c r="M9" s="79">
        <f>coo</f>
        <v>45</v>
      </c>
      <c r="N9" s="46">
        <f>equ</f>
        <v>33</v>
      </c>
      <c r="O9" s="46">
        <f>pui</f>
        <v>51</v>
      </c>
      <c r="P9" s="288">
        <f t="shared" si="0"/>
        <v>23</v>
      </c>
      <c r="Q9" s="64">
        <f t="shared" si="1"/>
        <v>5</v>
      </c>
      <c r="R9" s="323">
        <f aca="true" t="shared" si="3" ref="R9:R33">ROUNDUP((3*M9+2*N9+O9)/4,0)</f>
        <v>63</v>
      </c>
      <c r="S9" s="83">
        <f aca="true" t="shared" si="4" ref="S9:S33">ROUNDUP((3*M9+2*N9+O9)/30,0)</f>
        <v>9</v>
      </c>
      <c r="T9" s="47"/>
      <c r="U9" s="59"/>
      <c r="V9" s="101" t="s">
        <v>136</v>
      </c>
      <c r="W9" s="63">
        <f>coo</f>
        <v>45</v>
      </c>
      <c r="X9" s="63">
        <f>com</f>
        <v>19</v>
      </c>
      <c r="Y9" s="63">
        <f>car</f>
        <v>22</v>
      </c>
      <c r="Z9" s="289">
        <f aca="true" t="shared" si="5" ref="Z9:Z52">ROUNDUP(W9/2,0)</f>
        <v>23</v>
      </c>
      <c r="AA9" s="278">
        <f aca="true" t="shared" si="6" ref="AA9:AA52">ROUNDUP(W9/10,0)</f>
        <v>5</v>
      </c>
      <c r="AB9" s="276">
        <f t="shared" si="2"/>
        <v>49</v>
      </c>
      <c r="AC9" s="322">
        <f aca="true" t="shared" si="7" ref="AC9:AC52">ROUNDUP((3*W9+2*X9+Y9)/30,0)</f>
        <v>7</v>
      </c>
      <c r="AD9" s="46"/>
      <c r="AE9" s="65"/>
      <c r="AF9" s="111" t="s">
        <v>223</v>
      </c>
      <c r="AG9" s="112" t="s">
        <v>224</v>
      </c>
      <c r="AH9" s="137" t="s">
        <v>238</v>
      </c>
      <c r="AI9" s="112"/>
      <c r="AJ9" s="254"/>
      <c r="AK9" s="254"/>
      <c r="AL9" s="254"/>
      <c r="AM9" s="254"/>
      <c r="AN9" s="254"/>
      <c r="AO9" s="255"/>
      <c r="AP9" s="176" t="s">
        <v>223</v>
      </c>
      <c r="AQ9" s="113" t="s">
        <v>224</v>
      </c>
      <c r="AR9" s="33"/>
      <c r="AS9" s="9"/>
      <c r="AT9" s="33"/>
      <c r="AU9" s="9"/>
      <c r="AV9" s="33"/>
      <c r="AW9" s="9"/>
      <c r="AX9" s="33"/>
      <c r="AY9" s="9"/>
    </row>
    <row r="10" spans="1:51" ht="12.75" thickBot="1">
      <c r="A10" s="20" t="s">
        <v>22</v>
      </c>
      <c r="B10" s="21"/>
      <c r="C10" s="6" t="s">
        <v>23</v>
      </c>
      <c r="D10" s="336">
        <v>17</v>
      </c>
      <c r="E10" s="337">
        <v>51</v>
      </c>
      <c r="F10" s="335">
        <f>IF(E10&gt;104,5,IF(E10&gt;75,4,IF(E10&gt;50,3,IF(E10&gt;30,2,IF(E10&gt;15,1,0)))))</f>
        <v>3</v>
      </c>
      <c r="G10" s="336">
        <v>68</v>
      </c>
      <c r="H10" s="22"/>
      <c r="I10" s="25" t="s">
        <v>89</v>
      </c>
      <c r="J10" s="26">
        <f>ROUNDUP((pou+fat+rob)/4,0)</f>
        <v>41</v>
      </c>
      <c r="L10" s="101" t="s">
        <v>111</v>
      </c>
      <c r="M10" s="79">
        <f>coo</f>
        <v>45</v>
      </c>
      <c r="N10" s="46">
        <f>sop</f>
        <v>48</v>
      </c>
      <c r="O10" s="46">
        <f>com</f>
        <v>19</v>
      </c>
      <c r="P10" s="289">
        <f t="shared" si="0"/>
        <v>23</v>
      </c>
      <c r="Q10" s="278">
        <f t="shared" si="1"/>
        <v>5</v>
      </c>
      <c r="R10" s="276">
        <f t="shared" si="3"/>
        <v>63</v>
      </c>
      <c r="S10" s="322">
        <f t="shared" si="4"/>
        <v>9</v>
      </c>
      <c r="T10" s="47"/>
      <c r="U10" s="59"/>
      <c r="V10" s="101" t="s">
        <v>137</v>
      </c>
      <c r="W10" s="63">
        <f>car</f>
        <v>22</v>
      </c>
      <c r="X10" s="63">
        <f>inu</f>
        <v>24</v>
      </c>
      <c r="Y10" s="63">
        <f>man</f>
        <v>32</v>
      </c>
      <c r="Z10" s="289">
        <f t="shared" si="5"/>
        <v>11</v>
      </c>
      <c r="AA10" s="278">
        <f t="shared" si="6"/>
        <v>3</v>
      </c>
      <c r="AB10" s="276">
        <f t="shared" si="2"/>
        <v>37</v>
      </c>
      <c r="AC10" s="322">
        <f t="shared" si="7"/>
        <v>5</v>
      </c>
      <c r="AD10" s="46"/>
      <c r="AE10" s="65"/>
      <c r="AF10" s="138" t="s">
        <v>225</v>
      </c>
      <c r="AG10" s="118" t="s">
        <v>226</v>
      </c>
      <c r="AH10" s="139" t="s">
        <v>227</v>
      </c>
      <c r="AI10" s="118"/>
      <c r="AJ10" s="256"/>
      <c r="AK10" s="256"/>
      <c r="AL10" s="256"/>
      <c r="AM10" s="256"/>
      <c r="AN10" s="256"/>
      <c r="AO10" s="257"/>
      <c r="AP10" s="176" t="s">
        <v>225</v>
      </c>
      <c r="AQ10" s="113" t="s">
        <v>226</v>
      </c>
      <c r="AR10" s="33"/>
      <c r="AS10" s="9"/>
      <c r="AT10" s="33"/>
      <c r="AU10" s="9"/>
      <c r="AV10" s="33"/>
      <c r="AW10" s="9"/>
      <c r="AX10" s="33"/>
      <c r="AY10" s="9"/>
    </row>
    <row r="11" spans="1:51" ht="12.75" thickBot="1">
      <c r="A11" s="24" t="s">
        <v>74</v>
      </c>
      <c r="B11" s="14"/>
      <c r="C11" s="2" t="s">
        <v>24</v>
      </c>
      <c r="D11" s="330"/>
      <c r="E11" s="287"/>
      <c r="F11" s="331"/>
      <c r="G11" s="332"/>
      <c r="H11" s="15"/>
      <c r="I11" s="158">
        <v>0.1</v>
      </c>
      <c r="J11" s="37">
        <f>ROUNDUP(hpv*I11,0)</f>
        <v>5</v>
      </c>
      <c r="K11" s="49"/>
      <c r="L11" s="99" t="s">
        <v>112</v>
      </c>
      <c r="M11" s="79">
        <f>man</f>
        <v>32</v>
      </c>
      <c r="N11" s="46">
        <f>sop</f>
        <v>48</v>
      </c>
      <c r="O11" s="46">
        <f>man</f>
        <v>32</v>
      </c>
      <c r="P11" s="288">
        <f t="shared" si="0"/>
        <v>16</v>
      </c>
      <c r="Q11" s="64">
        <f t="shared" si="1"/>
        <v>4</v>
      </c>
      <c r="R11" s="323">
        <f t="shared" si="3"/>
        <v>56</v>
      </c>
      <c r="S11" s="83">
        <f t="shared" si="4"/>
        <v>8</v>
      </c>
      <c r="T11" s="47"/>
      <c r="U11" s="59"/>
      <c r="V11" s="99" t="s">
        <v>138</v>
      </c>
      <c r="W11" s="63">
        <f>coo</f>
        <v>45</v>
      </c>
      <c r="X11" s="63">
        <f>car</f>
        <v>22</v>
      </c>
      <c r="Y11" s="63">
        <f>rai</f>
        <v>12</v>
      </c>
      <c r="Z11" s="288">
        <f t="shared" si="5"/>
        <v>23</v>
      </c>
      <c r="AA11" s="64">
        <f t="shared" si="6"/>
        <v>5</v>
      </c>
      <c r="AB11" s="323">
        <f t="shared" si="2"/>
        <v>48</v>
      </c>
      <c r="AC11" s="83">
        <f t="shared" si="7"/>
        <v>7</v>
      </c>
      <c r="AD11" s="46"/>
      <c r="AE11" s="65"/>
      <c r="AF11" s="1" t="s">
        <v>228</v>
      </c>
      <c r="AG11" s="2" t="s">
        <v>241</v>
      </c>
      <c r="AH11" s="130" t="s">
        <v>229</v>
      </c>
      <c r="AI11" s="2"/>
      <c r="AJ11" s="258"/>
      <c r="AK11" s="258"/>
      <c r="AL11" s="258"/>
      <c r="AM11" s="258"/>
      <c r="AN11" s="258"/>
      <c r="AO11" s="259"/>
      <c r="AP11" s="177" t="s">
        <v>228</v>
      </c>
      <c r="AQ11" s="3" t="s">
        <v>241</v>
      </c>
      <c r="AR11" s="116"/>
      <c r="AS11" s="149"/>
      <c r="AT11" s="116"/>
      <c r="AU11" s="149"/>
      <c r="AV11" s="116"/>
      <c r="AW11" s="149"/>
      <c r="AX11" s="116"/>
      <c r="AY11" s="149"/>
    </row>
    <row r="12" spans="1:51" ht="12.75" thickBot="1">
      <c r="A12" s="16" t="s">
        <v>25</v>
      </c>
      <c r="B12" s="17"/>
      <c r="C12" s="18" t="s">
        <v>26</v>
      </c>
      <c r="D12" s="333">
        <v>15</v>
      </c>
      <c r="E12" s="334">
        <v>35</v>
      </c>
      <c r="F12" s="335">
        <f>IF(E12&gt;104,5,IF(E12&gt;75,4,IF(E12&gt;50,3,IF(E12&gt;30,2,IF(E12&gt;15,1,0)))))</f>
        <v>2</v>
      </c>
      <c r="G12" s="333">
        <v>45</v>
      </c>
      <c r="H12" s="19"/>
      <c r="I12" s="159">
        <v>0.2</v>
      </c>
      <c r="J12" s="160">
        <f aca="true" t="shared" si="8" ref="J12:J19">ROUNDUP(hpv*I12,0)</f>
        <v>9</v>
      </c>
      <c r="K12" s="86"/>
      <c r="L12" s="99" t="s">
        <v>113</v>
      </c>
      <c r="M12" s="79">
        <f>man</f>
        <v>32</v>
      </c>
      <c r="N12" s="46">
        <f>equ</f>
        <v>33</v>
      </c>
      <c r="O12" s="46">
        <f>man</f>
        <v>32</v>
      </c>
      <c r="P12" s="288">
        <f t="shared" si="0"/>
        <v>16</v>
      </c>
      <c r="Q12" s="64">
        <f t="shared" si="1"/>
        <v>4</v>
      </c>
      <c r="R12" s="323">
        <f t="shared" si="3"/>
        <v>49</v>
      </c>
      <c r="S12" s="83">
        <f t="shared" si="4"/>
        <v>7</v>
      </c>
      <c r="T12" s="47"/>
      <c r="U12" s="59"/>
      <c r="V12" s="101" t="s">
        <v>139</v>
      </c>
      <c r="W12" s="63">
        <f>com</f>
        <v>19</v>
      </c>
      <c r="X12" s="63">
        <f>rai</f>
        <v>12</v>
      </c>
      <c r="Y12" s="63">
        <f>car</f>
        <v>22</v>
      </c>
      <c r="Z12" s="289">
        <f t="shared" si="5"/>
        <v>10</v>
      </c>
      <c r="AA12" s="278">
        <f t="shared" si="6"/>
        <v>2</v>
      </c>
      <c r="AB12" s="276">
        <f t="shared" si="2"/>
        <v>26</v>
      </c>
      <c r="AC12" s="322">
        <f t="shared" si="7"/>
        <v>4</v>
      </c>
      <c r="AD12" s="46"/>
      <c r="AE12" s="65"/>
      <c r="AF12" s="5"/>
      <c r="AG12" s="6" t="s">
        <v>240</v>
      </c>
      <c r="AH12" s="35" t="s">
        <v>229</v>
      </c>
      <c r="AI12" s="6"/>
      <c r="AJ12" s="260"/>
      <c r="AK12" s="260"/>
      <c r="AL12" s="260"/>
      <c r="AM12" s="260"/>
      <c r="AN12" s="260"/>
      <c r="AO12" s="261"/>
      <c r="AP12" s="178"/>
      <c r="AQ12" s="7" t="s">
        <v>240</v>
      </c>
      <c r="AR12" s="20"/>
      <c r="AS12" s="151"/>
      <c r="AT12" s="20"/>
      <c r="AU12" s="151"/>
      <c r="AV12" s="20"/>
      <c r="AW12" s="151"/>
      <c r="AX12" s="20"/>
      <c r="AY12" s="151"/>
    </row>
    <row r="13" spans="1:51" ht="12.75" thickBot="1">
      <c r="A13" s="20" t="s">
        <v>27</v>
      </c>
      <c r="B13" s="21"/>
      <c r="C13" s="6" t="s">
        <v>28</v>
      </c>
      <c r="D13" s="336">
        <v>15</v>
      </c>
      <c r="E13" s="337">
        <v>31</v>
      </c>
      <c r="F13" s="335">
        <f>IF(E13&gt;104,5,IF(E13&gt;75,4,IF(E13&gt;50,3,IF(E13&gt;30,2,IF(E13&gt;15,1,0)))))</f>
        <v>2</v>
      </c>
      <c r="G13" s="336">
        <v>45</v>
      </c>
      <c r="H13" s="22"/>
      <c r="I13" s="159">
        <v>0.3</v>
      </c>
      <c r="J13" s="160">
        <f t="shared" si="8"/>
        <v>13</v>
      </c>
      <c r="K13" s="86"/>
      <c r="L13" s="99" t="s">
        <v>114</v>
      </c>
      <c r="M13" s="79">
        <f>pui</f>
        <v>51</v>
      </c>
      <c r="N13" s="46">
        <f>sou</f>
        <v>35</v>
      </c>
      <c r="O13" s="46">
        <f>sop</f>
        <v>48</v>
      </c>
      <c r="P13" s="288">
        <f t="shared" si="0"/>
        <v>26</v>
      </c>
      <c r="Q13" s="64">
        <f t="shared" si="1"/>
        <v>6</v>
      </c>
      <c r="R13" s="323">
        <f t="shared" si="3"/>
        <v>68</v>
      </c>
      <c r="S13" s="83">
        <f t="shared" si="4"/>
        <v>10</v>
      </c>
      <c r="T13" s="47"/>
      <c r="U13" s="59"/>
      <c r="V13" s="101" t="s">
        <v>140</v>
      </c>
      <c r="W13" s="63">
        <f>sop</f>
        <v>48</v>
      </c>
      <c r="X13" s="63">
        <f>sou</f>
        <v>35</v>
      </c>
      <c r="Y13" s="63">
        <f>com</f>
        <v>19</v>
      </c>
      <c r="Z13" s="289">
        <f t="shared" si="5"/>
        <v>24</v>
      </c>
      <c r="AA13" s="278">
        <f t="shared" si="6"/>
        <v>5</v>
      </c>
      <c r="AB13" s="276">
        <f t="shared" si="2"/>
        <v>59</v>
      </c>
      <c r="AC13" s="322">
        <f t="shared" si="7"/>
        <v>8</v>
      </c>
      <c r="AD13" s="46"/>
      <c r="AE13" s="65"/>
      <c r="AF13" s="1" t="s">
        <v>230</v>
      </c>
      <c r="AG13" s="2" t="s">
        <v>247</v>
      </c>
      <c r="AH13" s="130" t="s">
        <v>231</v>
      </c>
      <c r="AI13" s="2"/>
      <c r="AJ13" s="258"/>
      <c r="AK13" s="258"/>
      <c r="AL13" s="258"/>
      <c r="AM13" s="258"/>
      <c r="AN13" s="258"/>
      <c r="AO13" s="259"/>
      <c r="AP13" s="177" t="s">
        <v>230</v>
      </c>
      <c r="AQ13" s="3" t="s">
        <v>247</v>
      </c>
      <c r="AR13" s="116"/>
      <c r="AS13" s="149"/>
      <c r="AT13" s="116"/>
      <c r="AU13" s="149"/>
      <c r="AV13" s="116"/>
      <c r="AW13" s="149"/>
      <c r="AX13" s="116"/>
      <c r="AY13" s="149"/>
    </row>
    <row r="14" spans="1:51" ht="12.75" thickBot="1">
      <c r="A14" s="24" t="s">
        <v>75</v>
      </c>
      <c r="B14" s="14"/>
      <c r="C14" s="2" t="s">
        <v>29</v>
      </c>
      <c r="D14" s="330"/>
      <c r="E14" s="287"/>
      <c r="F14" s="331"/>
      <c r="G14" s="332"/>
      <c r="H14" s="15"/>
      <c r="I14" s="161">
        <v>0.4</v>
      </c>
      <c r="J14" s="162">
        <f t="shared" si="8"/>
        <v>17</v>
      </c>
      <c r="K14" s="86"/>
      <c r="L14" s="99" t="s">
        <v>115</v>
      </c>
      <c r="M14" s="79">
        <f>pui</f>
        <v>51</v>
      </c>
      <c r="N14" s="46">
        <f>equ</f>
        <v>33</v>
      </c>
      <c r="O14" s="46">
        <f>man</f>
        <v>32</v>
      </c>
      <c r="P14" s="288">
        <f t="shared" si="0"/>
        <v>26</v>
      </c>
      <c r="Q14" s="64">
        <f t="shared" si="1"/>
        <v>6</v>
      </c>
      <c r="R14" s="323">
        <f t="shared" si="3"/>
        <v>63</v>
      </c>
      <c r="S14" s="83">
        <f t="shared" si="4"/>
        <v>9</v>
      </c>
      <c r="T14" s="47"/>
      <c r="U14" s="59"/>
      <c r="V14" s="101" t="s">
        <v>141</v>
      </c>
      <c r="W14" s="63">
        <f>sop</f>
        <v>48</v>
      </c>
      <c r="X14" s="63">
        <f>pui</f>
        <v>51</v>
      </c>
      <c r="Y14" s="63">
        <f>sou</f>
        <v>35</v>
      </c>
      <c r="Z14" s="289">
        <f t="shared" si="5"/>
        <v>24</v>
      </c>
      <c r="AA14" s="278">
        <f t="shared" si="6"/>
        <v>5</v>
      </c>
      <c r="AB14" s="276">
        <f t="shared" si="2"/>
        <v>71</v>
      </c>
      <c r="AC14" s="322">
        <f t="shared" si="7"/>
        <v>10</v>
      </c>
      <c r="AD14" s="46"/>
      <c r="AE14" s="65"/>
      <c r="AF14" s="5"/>
      <c r="AG14" s="6" t="s">
        <v>242</v>
      </c>
      <c r="AH14" s="35" t="s">
        <v>231</v>
      </c>
      <c r="AI14" s="6"/>
      <c r="AJ14" s="260"/>
      <c r="AK14" s="260"/>
      <c r="AL14" s="260"/>
      <c r="AM14" s="260"/>
      <c r="AN14" s="260"/>
      <c r="AO14" s="261"/>
      <c r="AP14" s="178"/>
      <c r="AQ14" s="7" t="s">
        <v>242</v>
      </c>
      <c r="AR14" s="20"/>
      <c r="AS14" s="151"/>
      <c r="AT14" s="20"/>
      <c r="AU14" s="151"/>
      <c r="AV14" s="20"/>
      <c r="AW14" s="151"/>
      <c r="AX14" s="20"/>
      <c r="AY14" s="151"/>
    </row>
    <row r="15" spans="1:51" ht="12.75" thickBot="1">
      <c r="A15" s="16" t="s">
        <v>30</v>
      </c>
      <c r="B15" s="17"/>
      <c r="C15" s="18" t="s">
        <v>31</v>
      </c>
      <c r="D15" s="333">
        <v>15</v>
      </c>
      <c r="E15" s="334">
        <v>45</v>
      </c>
      <c r="F15" s="335">
        <f>IF(E15&gt;104,5,IF(E15&gt;75,4,IF(E15&gt;50,3,IF(E15&gt;30,2,IF(E15&gt;15,1,0)))))</f>
        <v>2</v>
      </c>
      <c r="G15" s="333">
        <v>45</v>
      </c>
      <c r="H15" s="19"/>
      <c r="I15" s="163">
        <v>0.5</v>
      </c>
      <c r="J15" s="164">
        <f t="shared" si="8"/>
        <v>21</v>
      </c>
      <c r="K15" s="86"/>
      <c r="L15" s="99" t="s">
        <v>190</v>
      </c>
      <c r="M15" s="79">
        <f>pui</f>
        <v>51</v>
      </c>
      <c r="N15" s="46">
        <f>sop</f>
        <v>48</v>
      </c>
      <c r="O15" s="46">
        <f>pou</f>
        <v>51</v>
      </c>
      <c r="P15" s="288">
        <f t="shared" si="0"/>
        <v>26</v>
      </c>
      <c r="Q15" s="64">
        <f t="shared" si="1"/>
        <v>6</v>
      </c>
      <c r="R15" s="323">
        <f t="shared" si="3"/>
        <v>75</v>
      </c>
      <c r="S15" s="83">
        <f t="shared" si="4"/>
        <v>10</v>
      </c>
      <c r="T15" s="47"/>
      <c r="U15" s="59"/>
      <c r="V15" s="101" t="s">
        <v>142</v>
      </c>
      <c r="W15" s="63">
        <f>pui</f>
        <v>51</v>
      </c>
      <c r="X15" s="63">
        <f>fat</f>
        <v>31</v>
      </c>
      <c r="Y15" s="63">
        <f>fat</f>
        <v>31</v>
      </c>
      <c r="Z15" s="289">
        <f t="shared" si="5"/>
        <v>26</v>
      </c>
      <c r="AA15" s="278">
        <f t="shared" si="6"/>
        <v>6</v>
      </c>
      <c r="AB15" s="276">
        <f t="shared" si="2"/>
        <v>62</v>
      </c>
      <c r="AC15" s="322">
        <f t="shared" si="7"/>
        <v>9</v>
      </c>
      <c r="AD15" s="46"/>
      <c r="AE15" s="65"/>
      <c r="AF15" s="138" t="s">
        <v>232</v>
      </c>
      <c r="AG15" s="118" t="s">
        <v>233</v>
      </c>
      <c r="AH15" s="139" t="s">
        <v>234</v>
      </c>
      <c r="AI15" s="118"/>
      <c r="AJ15" s="256"/>
      <c r="AK15" s="256"/>
      <c r="AL15" s="256"/>
      <c r="AM15" s="256"/>
      <c r="AN15" s="256"/>
      <c r="AO15" s="257"/>
      <c r="AP15" s="176" t="s">
        <v>232</v>
      </c>
      <c r="AQ15" s="113" t="s">
        <v>233</v>
      </c>
      <c r="AR15" s="33"/>
      <c r="AS15" s="9"/>
      <c r="AT15" s="33"/>
      <c r="AU15" s="9"/>
      <c r="AV15" s="33"/>
      <c r="AW15" s="9"/>
      <c r="AX15" s="33"/>
      <c r="AY15" s="9"/>
    </row>
    <row r="16" spans="1:51" ht="12.75" thickBot="1">
      <c r="A16" s="20" t="s">
        <v>32</v>
      </c>
      <c r="B16" s="21"/>
      <c r="C16" s="6" t="s">
        <v>33</v>
      </c>
      <c r="D16" s="336">
        <v>15</v>
      </c>
      <c r="E16" s="337">
        <v>32</v>
      </c>
      <c r="F16" s="335">
        <f>IF(E16&gt;104,5,IF(E16&gt;75,4,IF(E16&gt;50,3,IF(E16&gt;30,2,IF(E16&gt;15,1,0)))))</f>
        <v>2</v>
      </c>
      <c r="G16" s="336">
        <v>45</v>
      </c>
      <c r="H16" s="22"/>
      <c r="I16" s="161">
        <v>0.6</v>
      </c>
      <c r="J16" s="162">
        <f t="shared" si="8"/>
        <v>25</v>
      </c>
      <c r="K16" s="86"/>
      <c r="L16" s="99" t="s">
        <v>116</v>
      </c>
      <c r="M16" s="79">
        <f>coo</f>
        <v>45</v>
      </c>
      <c r="N16" s="46">
        <f>equ</f>
        <v>33</v>
      </c>
      <c r="O16" s="46">
        <f>fat</f>
        <v>31</v>
      </c>
      <c r="P16" s="288">
        <f t="shared" si="0"/>
        <v>23</v>
      </c>
      <c r="Q16" s="64">
        <f t="shared" si="1"/>
        <v>5</v>
      </c>
      <c r="R16" s="323">
        <f t="shared" si="3"/>
        <v>58</v>
      </c>
      <c r="S16" s="83">
        <f t="shared" si="4"/>
        <v>8</v>
      </c>
      <c r="T16" s="47"/>
      <c r="U16" s="59"/>
      <c r="V16" s="99" t="s">
        <v>143</v>
      </c>
      <c r="W16" s="63">
        <f>sou</f>
        <v>35</v>
      </c>
      <c r="X16" s="63">
        <f>coo</f>
        <v>45</v>
      </c>
      <c r="Y16" s="63">
        <f>sop</f>
        <v>48</v>
      </c>
      <c r="Z16" s="288">
        <f t="shared" si="5"/>
        <v>18</v>
      </c>
      <c r="AA16" s="64">
        <f t="shared" si="6"/>
        <v>4</v>
      </c>
      <c r="AB16" s="323">
        <f t="shared" si="2"/>
        <v>61</v>
      </c>
      <c r="AC16" s="83">
        <f t="shared" si="7"/>
        <v>9</v>
      </c>
      <c r="AD16" s="46"/>
      <c r="AE16" s="65"/>
      <c r="AF16" s="1" t="s">
        <v>235</v>
      </c>
      <c r="AG16" s="2" t="s">
        <v>246</v>
      </c>
      <c r="AH16" s="130" t="s">
        <v>236</v>
      </c>
      <c r="AI16" s="2"/>
      <c r="AJ16" s="258"/>
      <c r="AK16" s="258"/>
      <c r="AL16" s="258"/>
      <c r="AM16" s="258"/>
      <c r="AN16" s="258"/>
      <c r="AO16" s="259"/>
      <c r="AP16" s="177" t="s">
        <v>235</v>
      </c>
      <c r="AQ16" s="3" t="s">
        <v>246</v>
      </c>
      <c r="AR16" s="116"/>
      <c r="AS16" s="149"/>
      <c r="AT16" s="116"/>
      <c r="AU16" s="149"/>
      <c r="AV16" s="116"/>
      <c r="AW16" s="149"/>
      <c r="AX16" s="116"/>
      <c r="AY16" s="149"/>
    </row>
    <row r="17" spans="1:51" ht="12.75" thickBot="1">
      <c r="A17" s="24" t="s">
        <v>76</v>
      </c>
      <c r="B17" s="14"/>
      <c r="C17" s="2" t="s">
        <v>34</v>
      </c>
      <c r="D17" s="330"/>
      <c r="E17" s="287"/>
      <c r="F17" s="331"/>
      <c r="G17" s="332"/>
      <c r="H17" s="15"/>
      <c r="I17" s="159">
        <v>0.7</v>
      </c>
      <c r="J17" s="160">
        <f t="shared" si="8"/>
        <v>29</v>
      </c>
      <c r="K17" s="86"/>
      <c r="L17" s="99" t="s">
        <v>117</v>
      </c>
      <c r="M17" s="79">
        <f>coo</f>
        <v>45</v>
      </c>
      <c r="N17" s="46">
        <f>equ</f>
        <v>33</v>
      </c>
      <c r="O17" s="46">
        <f>coo</f>
        <v>45</v>
      </c>
      <c r="P17" s="288">
        <f t="shared" si="0"/>
        <v>23</v>
      </c>
      <c r="Q17" s="64">
        <f t="shared" si="1"/>
        <v>5</v>
      </c>
      <c r="R17" s="323">
        <f t="shared" si="3"/>
        <v>62</v>
      </c>
      <c r="S17" s="83">
        <f t="shared" si="4"/>
        <v>9</v>
      </c>
      <c r="T17" s="47"/>
      <c r="U17" s="59"/>
      <c r="V17" s="99" t="s">
        <v>144</v>
      </c>
      <c r="W17" s="63">
        <f>sop</f>
        <v>48</v>
      </c>
      <c r="X17" s="63">
        <f>bea</f>
        <v>32</v>
      </c>
      <c r="Y17" s="63">
        <f>mem</f>
        <v>12</v>
      </c>
      <c r="Z17" s="288">
        <f t="shared" si="5"/>
        <v>24</v>
      </c>
      <c r="AA17" s="64">
        <f t="shared" si="6"/>
        <v>5</v>
      </c>
      <c r="AB17" s="323">
        <f t="shared" si="2"/>
        <v>55</v>
      </c>
      <c r="AC17" s="83">
        <f t="shared" si="7"/>
        <v>8</v>
      </c>
      <c r="AD17" s="46"/>
      <c r="AE17" s="65"/>
      <c r="AF17" s="5"/>
      <c r="AG17" s="6" t="s">
        <v>243</v>
      </c>
      <c r="AH17" s="35" t="s">
        <v>236</v>
      </c>
      <c r="AI17" s="6"/>
      <c r="AJ17" s="260"/>
      <c r="AK17" s="260"/>
      <c r="AL17" s="260"/>
      <c r="AM17" s="260"/>
      <c r="AN17" s="260"/>
      <c r="AO17" s="261"/>
      <c r="AP17" s="178"/>
      <c r="AQ17" s="7" t="s">
        <v>243</v>
      </c>
      <c r="AR17" s="20"/>
      <c r="AS17" s="151"/>
      <c r="AT17" s="20"/>
      <c r="AU17" s="151"/>
      <c r="AV17" s="20"/>
      <c r="AW17" s="151"/>
      <c r="AX17" s="20"/>
      <c r="AY17" s="151"/>
    </row>
    <row r="18" spans="1:51" ht="12.75" thickBot="1">
      <c r="A18" s="16" t="s">
        <v>35</v>
      </c>
      <c r="B18" s="17"/>
      <c r="C18" s="18" t="s">
        <v>36</v>
      </c>
      <c r="D18" s="333">
        <v>16</v>
      </c>
      <c r="E18" s="334">
        <v>48</v>
      </c>
      <c r="F18" s="335">
        <f>IF(E18&gt;104,5,IF(E18&gt;75,4,IF(E18&gt;50,3,IF(E18&gt;30,2,IF(E18&gt;15,1,0)))))</f>
        <v>2</v>
      </c>
      <c r="G18" s="333">
        <v>48</v>
      </c>
      <c r="H18" s="19"/>
      <c r="I18" s="163">
        <v>0.8</v>
      </c>
      <c r="J18" s="164">
        <f t="shared" si="8"/>
        <v>33</v>
      </c>
      <c r="K18" s="86"/>
      <c r="L18" s="99" t="s">
        <v>118</v>
      </c>
      <c r="M18" s="79">
        <f>man</f>
        <v>32</v>
      </c>
      <c r="N18" s="46">
        <f>equ</f>
        <v>33</v>
      </c>
      <c r="O18" s="46">
        <f>sop</f>
        <v>48</v>
      </c>
      <c r="P18" s="288">
        <f t="shared" si="0"/>
        <v>16</v>
      </c>
      <c r="Q18" s="64">
        <f t="shared" si="1"/>
        <v>4</v>
      </c>
      <c r="R18" s="323">
        <f t="shared" si="3"/>
        <v>53</v>
      </c>
      <c r="S18" s="83">
        <f t="shared" si="4"/>
        <v>7</v>
      </c>
      <c r="T18" s="47"/>
      <c r="U18" s="59"/>
      <c r="V18" s="101" t="s">
        <v>145</v>
      </c>
      <c r="W18" s="63">
        <f>man</f>
        <v>32</v>
      </c>
      <c r="X18" s="63">
        <f>coo</f>
        <v>45</v>
      </c>
      <c r="Y18" s="63">
        <f>car</f>
        <v>22</v>
      </c>
      <c r="Z18" s="289">
        <f t="shared" si="5"/>
        <v>16</v>
      </c>
      <c r="AA18" s="278">
        <f t="shared" si="6"/>
        <v>4</v>
      </c>
      <c r="AB18" s="276">
        <f t="shared" si="2"/>
        <v>52</v>
      </c>
      <c r="AC18" s="322">
        <f t="shared" si="7"/>
        <v>7</v>
      </c>
      <c r="AD18" s="46"/>
      <c r="AE18" s="65"/>
      <c r="AF18" s="108" t="s">
        <v>237</v>
      </c>
      <c r="AG18" s="109" t="s">
        <v>245</v>
      </c>
      <c r="AH18" s="135" t="s">
        <v>236</v>
      </c>
      <c r="AI18" s="109"/>
      <c r="AJ18" s="270"/>
      <c r="AK18" s="270"/>
      <c r="AL18" s="270"/>
      <c r="AM18" s="270"/>
      <c r="AN18" s="270"/>
      <c r="AO18" s="271"/>
      <c r="AP18" s="179" t="s">
        <v>237</v>
      </c>
      <c r="AQ18" s="110" t="s">
        <v>245</v>
      </c>
      <c r="AR18" s="146"/>
      <c r="AS18" s="148"/>
      <c r="AT18" s="146"/>
      <c r="AU18" s="148"/>
      <c r="AV18" s="146"/>
      <c r="AW18" s="148"/>
      <c r="AX18" s="146"/>
      <c r="AY18" s="148"/>
    </row>
    <row r="19" spans="1:51" ht="12.75" thickBot="1">
      <c r="A19" s="20" t="s">
        <v>37</v>
      </c>
      <c r="B19" s="21"/>
      <c r="C19" s="6" t="s">
        <v>38</v>
      </c>
      <c r="D19" s="336">
        <v>16</v>
      </c>
      <c r="E19" s="337">
        <v>33</v>
      </c>
      <c r="F19" s="335">
        <f>IF(E19&gt;104,5,IF(E19&gt;75,4,IF(E19&gt;50,3,IF(E19&gt;30,2,IF(E19&gt;15,1,0)))))</f>
        <v>2</v>
      </c>
      <c r="G19" s="336">
        <v>48</v>
      </c>
      <c r="H19" s="22"/>
      <c r="I19" s="165">
        <v>0.9</v>
      </c>
      <c r="J19" s="51">
        <f t="shared" si="8"/>
        <v>37</v>
      </c>
      <c r="K19" s="49"/>
      <c r="L19" s="99" t="s">
        <v>119</v>
      </c>
      <c r="M19" s="79">
        <f>pou</f>
        <v>51</v>
      </c>
      <c r="N19" s="46">
        <f>fat</f>
        <v>31</v>
      </c>
      <c r="O19" s="46">
        <f>pui</f>
        <v>51</v>
      </c>
      <c r="P19" s="288">
        <f t="shared" si="0"/>
        <v>26</v>
      </c>
      <c r="Q19" s="64">
        <f t="shared" si="1"/>
        <v>6</v>
      </c>
      <c r="R19" s="323">
        <f t="shared" si="3"/>
        <v>67</v>
      </c>
      <c r="S19" s="83">
        <f t="shared" si="4"/>
        <v>9</v>
      </c>
      <c r="T19" s="47"/>
      <c r="U19" s="59"/>
      <c r="V19" s="101" t="s">
        <v>146</v>
      </c>
      <c r="W19" s="63">
        <f>rai</f>
        <v>12</v>
      </c>
      <c r="X19" s="63">
        <f>man</f>
        <v>32</v>
      </c>
      <c r="Y19" s="63">
        <f>inu</f>
        <v>24</v>
      </c>
      <c r="Z19" s="289">
        <f t="shared" si="5"/>
        <v>6</v>
      </c>
      <c r="AA19" s="278">
        <f t="shared" si="6"/>
        <v>2</v>
      </c>
      <c r="AB19" s="276">
        <f t="shared" si="2"/>
        <v>31</v>
      </c>
      <c r="AC19" s="322">
        <f t="shared" si="7"/>
        <v>5</v>
      </c>
      <c r="AD19" s="46"/>
      <c r="AE19" s="65"/>
      <c r="AF19" s="5"/>
      <c r="AG19" s="6" t="s">
        <v>244</v>
      </c>
      <c r="AH19" s="35" t="s">
        <v>236</v>
      </c>
      <c r="AI19" s="6"/>
      <c r="AJ19" s="260"/>
      <c r="AK19" s="260"/>
      <c r="AL19" s="260"/>
      <c r="AM19" s="260"/>
      <c r="AN19" s="260"/>
      <c r="AO19" s="261"/>
      <c r="AP19" s="178"/>
      <c r="AQ19" s="7" t="s">
        <v>244</v>
      </c>
      <c r="AR19" s="20"/>
      <c r="AS19" s="151"/>
      <c r="AT19" s="20"/>
      <c r="AU19" s="151"/>
      <c r="AV19" s="20"/>
      <c r="AW19" s="151"/>
      <c r="AX19" s="20"/>
      <c r="AY19" s="151"/>
    </row>
    <row r="20" spans="1:31" ht="12.75" thickBot="1">
      <c r="A20" s="24" t="s">
        <v>77</v>
      </c>
      <c r="B20" s="14"/>
      <c r="C20" s="2" t="s">
        <v>39</v>
      </c>
      <c r="D20" s="330"/>
      <c r="E20" s="287"/>
      <c r="F20" s="331"/>
      <c r="G20" s="332"/>
      <c r="H20" s="15"/>
      <c r="I20" s="25" t="s">
        <v>90</v>
      </c>
      <c r="J20" s="26">
        <f>ROUNDUP((5*rob+fat)/60,0)</f>
        <v>8</v>
      </c>
      <c r="L20" s="99" t="s">
        <v>120</v>
      </c>
      <c r="M20" s="79">
        <f>sop</f>
        <v>48</v>
      </c>
      <c r="N20" s="46">
        <f>coo</f>
        <v>45</v>
      </c>
      <c r="O20" s="46">
        <f>equ</f>
        <v>33</v>
      </c>
      <c r="P20" s="288">
        <f t="shared" si="0"/>
        <v>24</v>
      </c>
      <c r="Q20" s="64">
        <f t="shared" si="1"/>
        <v>5</v>
      </c>
      <c r="R20" s="323">
        <f t="shared" si="3"/>
        <v>67</v>
      </c>
      <c r="S20" s="83">
        <f t="shared" si="4"/>
        <v>9</v>
      </c>
      <c r="T20" s="47"/>
      <c r="U20" s="59"/>
      <c r="V20" s="101" t="s">
        <v>147</v>
      </c>
      <c r="W20" s="63">
        <f>com</f>
        <v>19</v>
      </c>
      <c r="X20" s="63">
        <f>rap</f>
        <v>7</v>
      </c>
      <c r="Y20" s="63">
        <f>inu</f>
        <v>24</v>
      </c>
      <c r="Z20" s="289">
        <f t="shared" si="5"/>
        <v>10</v>
      </c>
      <c r="AA20" s="278">
        <f t="shared" si="6"/>
        <v>2</v>
      </c>
      <c r="AB20" s="276">
        <f t="shared" si="2"/>
        <v>24</v>
      </c>
      <c r="AC20" s="322">
        <f t="shared" si="7"/>
        <v>4</v>
      </c>
      <c r="AD20" s="46"/>
      <c r="AE20" s="65"/>
    </row>
    <row r="21" spans="1:42" ht="14.25" thickBot="1">
      <c r="A21" s="16" t="s">
        <v>40</v>
      </c>
      <c r="B21" s="17"/>
      <c r="C21" s="18" t="s">
        <v>41</v>
      </c>
      <c r="D21" s="333">
        <v>8</v>
      </c>
      <c r="E21" s="334">
        <v>12</v>
      </c>
      <c r="F21" s="338"/>
      <c r="G21" s="333">
        <v>16</v>
      </c>
      <c r="H21" s="19"/>
      <c r="I21" s="30" t="s">
        <v>91</v>
      </c>
      <c r="J21" s="31">
        <f>ROUND((cel+sop+coo)/20,0)</f>
        <v>5</v>
      </c>
      <c r="L21" s="99" t="s">
        <v>121</v>
      </c>
      <c r="M21" s="79">
        <f>man</f>
        <v>32</v>
      </c>
      <c r="N21" s="46">
        <f>equ</f>
        <v>33</v>
      </c>
      <c r="O21" s="46">
        <f>man</f>
        <v>32</v>
      </c>
      <c r="P21" s="288">
        <f t="shared" si="0"/>
        <v>16</v>
      </c>
      <c r="Q21" s="64">
        <f t="shared" si="1"/>
        <v>4</v>
      </c>
      <c r="R21" s="323">
        <f t="shared" si="3"/>
        <v>49</v>
      </c>
      <c r="S21" s="83">
        <f t="shared" si="4"/>
        <v>7</v>
      </c>
      <c r="T21" s="47"/>
      <c r="U21" s="59"/>
      <c r="V21" s="99" t="s">
        <v>148</v>
      </c>
      <c r="W21" s="63">
        <f>car</f>
        <v>22</v>
      </c>
      <c r="X21" s="63">
        <f>man</f>
        <v>32</v>
      </c>
      <c r="Y21" s="63">
        <f>pou</f>
        <v>51</v>
      </c>
      <c r="Z21" s="288">
        <f t="shared" si="5"/>
        <v>11</v>
      </c>
      <c r="AA21" s="64">
        <f t="shared" si="6"/>
        <v>3</v>
      </c>
      <c r="AB21" s="323">
        <f t="shared" si="2"/>
        <v>46</v>
      </c>
      <c r="AC21" s="83">
        <f t="shared" si="7"/>
        <v>7</v>
      </c>
      <c r="AD21" s="46"/>
      <c r="AE21" s="294"/>
      <c r="AF21" s="295" t="s">
        <v>315</v>
      </c>
      <c r="AG21" s="296"/>
      <c r="AH21" s="152"/>
      <c r="AI21" s="152"/>
      <c r="AJ21" s="152"/>
      <c r="AK21" s="152"/>
      <c r="AL21" s="152"/>
      <c r="AM21" s="152"/>
      <c r="AN21" s="152"/>
      <c r="AO21" s="149"/>
      <c r="AP21" s="173" t="s">
        <v>268</v>
      </c>
    </row>
    <row r="22" spans="1:42" ht="12.75" thickBot="1">
      <c r="A22" s="20" t="s">
        <v>42</v>
      </c>
      <c r="B22" s="21"/>
      <c r="C22" s="6" t="s">
        <v>43</v>
      </c>
      <c r="D22" s="336">
        <v>8</v>
      </c>
      <c r="E22" s="337">
        <v>12</v>
      </c>
      <c r="F22" s="339"/>
      <c r="G22" s="336">
        <v>16</v>
      </c>
      <c r="H22" s="22"/>
      <c r="I22" s="30" t="s">
        <v>92</v>
      </c>
      <c r="J22" s="31">
        <f>ROUNDUP((fat+rob)/10,0)</f>
        <v>12</v>
      </c>
      <c r="L22" s="99" t="s">
        <v>122</v>
      </c>
      <c r="M22" s="79">
        <f>pui</f>
        <v>51</v>
      </c>
      <c r="N22" s="46">
        <f>sop</f>
        <v>48</v>
      </c>
      <c r="O22" s="46">
        <f>man</f>
        <v>32</v>
      </c>
      <c r="P22" s="288">
        <f t="shared" si="0"/>
        <v>26</v>
      </c>
      <c r="Q22" s="64">
        <f t="shared" si="1"/>
        <v>6</v>
      </c>
      <c r="R22" s="323">
        <f t="shared" si="3"/>
        <v>71</v>
      </c>
      <c r="S22" s="83">
        <f t="shared" si="4"/>
        <v>10</v>
      </c>
      <c r="T22" s="47"/>
      <c r="U22" s="59"/>
      <c r="V22" s="101" t="s">
        <v>149</v>
      </c>
      <c r="W22" s="63">
        <f>mem</f>
        <v>12</v>
      </c>
      <c r="X22" s="63">
        <f>man</f>
        <v>32</v>
      </c>
      <c r="Y22" s="63">
        <f>com</f>
        <v>19</v>
      </c>
      <c r="Z22" s="289">
        <f t="shared" si="5"/>
        <v>6</v>
      </c>
      <c r="AA22" s="278">
        <f t="shared" si="6"/>
        <v>2</v>
      </c>
      <c r="AB22" s="276">
        <f t="shared" si="2"/>
        <v>30</v>
      </c>
      <c r="AC22" s="322">
        <f t="shared" si="7"/>
        <v>4</v>
      </c>
      <c r="AD22" s="46"/>
      <c r="AE22" s="174"/>
      <c r="AF22" s="219"/>
      <c r="AG22" s="147"/>
      <c r="AH22" s="153"/>
      <c r="AI22" s="153"/>
      <c r="AJ22" s="153"/>
      <c r="AK22" s="153"/>
      <c r="AL22" s="153"/>
      <c r="AM22" s="153"/>
      <c r="AN22" s="153"/>
      <c r="AO22" s="150"/>
      <c r="AP22" s="202" t="s">
        <v>279</v>
      </c>
    </row>
    <row r="23" spans="1:51" ht="12.75" thickBot="1">
      <c r="A23" s="24" t="s">
        <v>78</v>
      </c>
      <c r="B23" s="14"/>
      <c r="C23" s="2" t="s">
        <v>44</v>
      </c>
      <c r="D23" s="330"/>
      <c r="E23" s="287"/>
      <c r="F23" s="331"/>
      <c r="G23" s="332"/>
      <c r="H23" s="15"/>
      <c r="I23" s="328" t="s">
        <v>258</v>
      </c>
      <c r="J23" s="329">
        <f>ROUNDUP(res*(hpv/10+cel)/2,0)</f>
        <v>86</v>
      </c>
      <c r="L23" s="99" t="s">
        <v>123</v>
      </c>
      <c r="M23" s="79">
        <f>sop</f>
        <v>48</v>
      </c>
      <c r="N23" s="46">
        <f>coo</f>
        <v>45</v>
      </c>
      <c r="O23" s="46">
        <f>coo</f>
        <v>45</v>
      </c>
      <c r="P23" s="288">
        <f t="shared" si="0"/>
        <v>24</v>
      </c>
      <c r="Q23" s="64">
        <f t="shared" si="1"/>
        <v>5</v>
      </c>
      <c r="R23" s="323">
        <f t="shared" si="3"/>
        <v>70</v>
      </c>
      <c r="S23" s="83">
        <f t="shared" si="4"/>
        <v>10</v>
      </c>
      <c r="T23" s="47"/>
      <c r="U23" s="59"/>
      <c r="V23" s="101" t="s">
        <v>150</v>
      </c>
      <c r="W23" s="63">
        <f>sou</f>
        <v>35</v>
      </c>
      <c r="X23" s="63">
        <f>pou</f>
        <v>51</v>
      </c>
      <c r="Y23" s="63">
        <f>sop</f>
        <v>48</v>
      </c>
      <c r="Z23" s="289">
        <f t="shared" si="5"/>
        <v>18</v>
      </c>
      <c r="AA23" s="278">
        <f t="shared" si="6"/>
        <v>4</v>
      </c>
      <c r="AB23" s="276">
        <f t="shared" si="2"/>
        <v>64</v>
      </c>
      <c r="AC23" s="322">
        <f t="shared" si="7"/>
        <v>9</v>
      </c>
      <c r="AD23" s="46"/>
      <c r="AE23" s="174"/>
      <c r="AF23" s="220"/>
      <c r="AG23" s="153"/>
      <c r="AH23" s="153"/>
      <c r="AI23" s="153"/>
      <c r="AJ23" s="153"/>
      <c r="AK23" s="153"/>
      <c r="AL23" s="153"/>
      <c r="AM23" s="153"/>
      <c r="AN23" s="153"/>
      <c r="AO23" s="150"/>
      <c r="AP23" s="29" t="s">
        <v>270</v>
      </c>
      <c r="AQ23" s="34"/>
      <c r="AR23" s="187" t="s">
        <v>273</v>
      </c>
      <c r="AS23" s="204" t="s">
        <v>271</v>
      </c>
      <c r="AT23" s="203" t="s">
        <v>281</v>
      </c>
      <c r="AU23" s="191"/>
      <c r="AV23" s="184" t="s">
        <v>1</v>
      </c>
      <c r="AW23" s="184" t="s">
        <v>275</v>
      </c>
      <c r="AX23" s="184" t="s">
        <v>276</v>
      </c>
      <c r="AY23" s="34" t="s">
        <v>278</v>
      </c>
    </row>
    <row r="24" spans="1:51" ht="12.75" thickBot="1">
      <c r="A24" s="16" t="s">
        <v>9</v>
      </c>
      <c r="B24" s="17"/>
      <c r="C24" s="18" t="s">
        <v>45</v>
      </c>
      <c r="D24" s="333">
        <v>12</v>
      </c>
      <c r="E24" s="334">
        <v>22</v>
      </c>
      <c r="F24" s="338"/>
      <c r="G24" s="333">
        <v>24</v>
      </c>
      <c r="H24" s="19"/>
      <c r="I24" s="25" t="s">
        <v>259</v>
      </c>
      <c r="J24" s="168">
        <f>ROUNDUP((rob+fat)/2,0)</f>
        <v>56</v>
      </c>
      <c r="L24" s="99" t="s">
        <v>124</v>
      </c>
      <c r="M24" s="79">
        <f>sop</f>
        <v>48</v>
      </c>
      <c r="N24" s="46">
        <f>equ</f>
        <v>33</v>
      </c>
      <c r="O24" s="46">
        <f>man</f>
        <v>32</v>
      </c>
      <c r="P24" s="288">
        <f t="shared" si="0"/>
        <v>24</v>
      </c>
      <c r="Q24" s="64">
        <f t="shared" si="1"/>
        <v>5</v>
      </c>
      <c r="R24" s="323">
        <f t="shared" si="3"/>
        <v>61</v>
      </c>
      <c r="S24" s="83">
        <f t="shared" si="4"/>
        <v>9</v>
      </c>
      <c r="T24" s="47"/>
      <c r="U24" s="59"/>
      <c r="V24" s="101" t="s">
        <v>151</v>
      </c>
      <c r="W24" s="63">
        <f>com</f>
        <v>19</v>
      </c>
      <c r="X24" s="63">
        <f>fat</f>
        <v>31</v>
      </c>
      <c r="Y24" s="63">
        <f>fat</f>
        <v>31</v>
      </c>
      <c r="Z24" s="289">
        <f t="shared" si="5"/>
        <v>10</v>
      </c>
      <c r="AA24" s="278">
        <f t="shared" si="6"/>
        <v>2</v>
      </c>
      <c r="AB24" s="276">
        <f t="shared" si="2"/>
        <v>38</v>
      </c>
      <c r="AC24" s="322">
        <f t="shared" si="7"/>
        <v>5</v>
      </c>
      <c r="AD24" s="46"/>
      <c r="AE24" s="174"/>
      <c r="AF24" s="221"/>
      <c r="AG24" s="154"/>
      <c r="AH24" s="154"/>
      <c r="AI24" s="154"/>
      <c r="AJ24" s="154"/>
      <c r="AK24" s="154"/>
      <c r="AL24" s="154"/>
      <c r="AM24" s="154"/>
      <c r="AN24" s="154"/>
      <c r="AO24" s="151"/>
      <c r="AP24" s="180" t="s">
        <v>274</v>
      </c>
      <c r="AQ24" s="181"/>
      <c r="AR24" s="188" t="s">
        <v>272</v>
      </c>
      <c r="AS24" s="200" t="s">
        <v>280</v>
      </c>
      <c r="AT24" s="201" t="s">
        <v>280</v>
      </c>
      <c r="AU24" s="192"/>
      <c r="AV24" s="227" t="s">
        <v>89</v>
      </c>
      <c r="AW24" s="227" t="s">
        <v>248</v>
      </c>
      <c r="AX24" s="227" t="s">
        <v>277</v>
      </c>
      <c r="AY24" s="181" t="s">
        <v>292</v>
      </c>
    </row>
    <row r="25" spans="1:51" ht="12.75" thickBot="1">
      <c r="A25" s="20" t="s">
        <v>46</v>
      </c>
      <c r="B25" s="21"/>
      <c r="C25" s="6" t="s">
        <v>47</v>
      </c>
      <c r="D25" s="336">
        <v>12</v>
      </c>
      <c r="E25" s="337">
        <v>24</v>
      </c>
      <c r="F25" s="339"/>
      <c r="G25" s="336">
        <v>24</v>
      </c>
      <c r="H25" s="22"/>
      <c r="I25" s="32" t="s">
        <v>103</v>
      </c>
      <c r="J25" s="167">
        <f>90+ROUNDUP(hc/10,0)</f>
        <v>96</v>
      </c>
      <c r="L25" s="99" t="s">
        <v>125</v>
      </c>
      <c r="M25" s="79">
        <f>pui</f>
        <v>51</v>
      </c>
      <c r="N25" s="46">
        <f>coo</f>
        <v>45</v>
      </c>
      <c r="O25" s="46">
        <f>sop</f>
        <v>48</v>
      </c>
      <c r="P25" s="288">
        <f t="shared" si="0"/>
        <v>26</v>
      </c>
      <c r="Q25" s="64">
        <f t="shared" si="1"/>
        <v>6</v>
      </c>
      <c r="R25" s="323">
        <f t="shared" si="3"/>
        <v>73</v>
      </c>
      <c r="S25" s="83">
        <f t="shared" si="4"/>
        <v>10</v>
      </c>
      <c r="T25" s="47"/>
      <c r="U25" s="59"/>
      <c r="V25" s="101" t="s">
        <v>152</v>
      </c>
      <c r="W25" s="63">
        <f>rai</f>
        <v>12</v>
      </c>
      <c r="X25" s="63">
        <f>mem</f>
        <v>12</v>
      </c>
      <c r="Y25" s="63">
        <f>rap</f>
        <v>7</v>
      </c>
      <c r="Z25" s="289">
        <f t="shared" si="5"/>
        <v>6</v>
      </c>
      <c r="AA25" s="278">
        <f t="shared" si="6"/>
        <v>2</v>
      </c>
      <c r="AB25" s="276">
        <f t="shared" si="2"/>
        <v>17</v>
      </c>
      <c r="AC25" s="322">
        <f t="shared" si="7"/>
        <v>3</v>
      </c>
      <c r="AD25" s="46"/>
      <c r="AE25" s="65"/>
      <c r="AP25" s="182">
        <v>1</v>
      </c>
      <c r="AQ25" s="26"/>
      <c r="AR25" s="189"/>
      <c r="AS25" s="193"/>
      <c r="AT25" s="194"/>
      <c r="AU25" s="126"/>
      <c r="AV25" s="196"/>
      <c r="AW25" s="196"/>
      <c r="AX25" s="196"/>
      <c r="AY25" s="198"/>
    </row>
    <row r="26" spans="1:51" ht="12.75" thickBot="1">
      <c r="A26" s="24" t="s">
        <v>79</v>
      </c>
      <c r="B26" s="14"/>
      <c r="C26" s="2" t="s">
        <v>48</v>
      </c>
      <c r="D26" s="330"/>
      <c r="E26" s="287"/>
      <c r="F26" s="331"/>
      <c r="G26" s="332"/>
      <c r="H26" s="15"/>
      <c r="I26" s="25" t="s">
        <v>321</v>
      </c>
      <c r="J26" s="205">
        <f>ROUNDUP((3*pou+rob)/4,0)</f>
        <v>59</v>
      </c>
      <c r="L26" s="99" t="s">
        <v>126</v>
      </c>
      <c r="M26" s="79">
        <f>coo</f>
        <v>45</v>
      </c>
      <c r="N26" s="46">
        <f>equ</f>
        <v>33</v>
      </c>
      <c r="O26" s="46">
        <f>man</f>
        <v>32</v>
      </c>
      <c r="P26" s="288">
        <f t="shared" si="0"/>
        <v>23</v>
      </c>
      <c r="Q26" s="64">
        <f t="shared" si="1"/>
        <v>5</v>
      </c>
      <c r="R26" s="323">
        <f t="shared" si="3"/>
        <v>59</v>
      </c>
      <c r="S26" s="83">
        <f t="shared" si="4"/>
        <v>8</v>
      </c>
      <c r="T26" s="47"/>
      <c r="U26" s="59"/>
      <c r="V26" s="99" t="s">
        <v>153</v>
      </c>
      <c r="W26" s="63">
        <f>rai</f>
        <v>12</v>
      </c>
      <c r="X26" s="63">
        <f>inu</f>
        <v>24</v>
      </c>
      <c r="Y26" s="63">
        <f>rai</f>
        <v>12</v>
      </c>
      <c r="Z26" s="288">
        <f t="shared" si="5"/>
        <v>6</v>
      </c>
      <c r="AA26" s="64">
        <f t="shared" si="6"/>
        <v>2</v>
      </c>
      <c r="AB26" s="323">
        <f t="shared" si="2"/>
        <v>24</v>
      </c>
      <c r="AC26" s="83">
        <f t="shared" si="7"/>
        <v>4</v>
      </c>
      <c r="AD26" s="46"/>
      <c r="AE26" s="65"/>
      <c r="AF26" s="10" t="s">
        <v>316</v>
      </c>
      <c r="AG26" s="40"/>
      <c r="AH26" s="237" t="s">
        <v>251</v>
      </c>
      <c r="AI26" s="222">
        <f>enlmalus</f>
        <v>4</v>
      </c>
      <c r="AJ26" s="152"/>
      <c r="AK26" s="152"/>
      <c r="AL26" s="152"/>
      <c r="AM26" s="152"/>
      <c r="AN26" s="152"/>
      <c r="AO26" s="152"/>
      <c r="AP26" s="183"/>
      <c r="AQ26" s="28"/>
      <c r="AR26" s="190"/>
      <c r="AS26" s="186"/>
      <c r="AT26" s="185"/>
      <c r="AU26" s="195"/>
      <c r="AV26" s="197"/>
      <c r="AW26" s="197"/>
      <c r="AX26" s="197"/>
      <c r="AY26" s="199"/>
    </row>
    <row r="27" spans="1:51" ht="12">
      <c r="A27" s="16" t="s">
        <v>49</v>
      </c>
      <c r="B27" s="17"/>
      <c r="C27" s="18" t="s">
        <v>50</v>
      </c>
      <c r="D27" s="333">
        <v>7</v>
      </c>
      <c r="E27" s="334">
        <v>7</v>
      </c>
      <c r="F27" s="338"/>
      <c r="G27" s="333">
        <v>14</v>
      </c>
      <c r="H27" s="19"/>
      <c r="I27" s="30" t="s">
        <v>93</v>
      </c>
      <c r="J27" s="206">
        <f>ROUNDUP((3*pou+rob)/2,0)</f>
        <v>117</v>
      </c>
      <c r="L27" s="99" t="s">
        <v>127</v>
      </c>
      <c r="M27" s="79">
        <f>pui</f>
        <v>51</v>
      </c>
      <c r="N27" s="46">
        <f>man</f>
        <v>32</v>
      </c>
      <c r="O27" s="46">
        <f>man</f>
        <v>32</v>
      </c>
      <c r="P27" s="288">
        <f t="shared" si="0"/>
        <v>26</v>
      </c>
      <c r="Q27" s="64">
        <f t="shared" si="1"/>
        <v>6</v>
      </c>
      <c r="R27" s="323">
        <f t="shared" si="3"/>
        <v>63</v>
      </c>
      <c r="S27" s="83">
        <f t="shared" si="4"/>
        <v>9</v>
      </c>
      <c r="T27" s="47"/>
      <c r="U27" s="59"/>
      <c r="V27" s="101" t="s">
        <v>154</v>
      </c>
      <c r="W27" s="63">
        <f>mem</f>
        <v>12</v>
      </c>
      <c r="X27" s="63">
        <f>com</f>
        <v>19</v>
      </c>
      <c r="Y27" s="63">
        <f>mem</f>
        <v>12</v>
      </c>
      <c r="Z27" s="289">
        <f t="shared" si="5"/>
        <v>6</v>
      </c>
      <c r="AA27" s="278">
        <f t="shared" si="6"/>
        <v>2</v>
      </c>
      <c r="AB27" s="276">
        <f t="shared" si="2"/>
        <v>22</v>
      </c>
      <c r="AC27" s="322">
        <f t="shared" si="7"/>
        <v>3</v>
      </c>
      <c r="AD27" s="46"/>
      <c r="AE27" s="65"/>
      <c r="AF27" s="146"/>
      <c r="AG27" s="147"/>
      <c r="AH27" s="147"/>
      <c r="AI27" s="153"/>
      <c r="AJ27" s="153"/>
      <c r="AK27" s="153"/>
      <c r="AL27" s="153"/>
      <c r="AM27" s="153"/>
      <c r="AN27" s="153"/>
      <c r="AO27" s="150"/>
      <c r="AP27" s="182">
        <v>2</v>
      </c>
      <c r="AQ27" s="26"/>
      <c r="AR27" s="189"/>
      <c r="AS27" s="193"/>
      <c r="AT27" s="194"/>
      <c r="AU27" s="126"/>
      <c r="AV27" s="196"/>
      <c r="AW27" s="196"/>
      <c r="AX27" s="196"/>
      <c r="AY27" s="198"/>
    </row>
    <row r="28" spans="1:51" ht="12.75" thickBot="1">
      <c r="A28" s="20" t="s">
        <v>51</v>
      </c>
      <c r="B28" s="21"/>
      <c r="C28" s="6" t="s">
        <v>52</v>
      </c>
      <c r="D28" s="336">
        <v>7</v>
      </c>
      <c r="E28" s="337">
        <v>7</v>
      </c>
      <c r="F28" s="339"/>
      <c r="G28" s="336">
        <v>14</v>
      </c>
      <c r="H28" s="22"/>
      <c r="I28" s="30" t="s">
        <v>94</v>
      </c>
      <c r="J28" s="206">
        <f>2*pou+rob</f>
        <v>182</v>
      </c>
      <c r="L28" s="99" t="s">
        <v>128</v>
      </c>
      <c r="M28" s="79">
        <f>man</f>
        <v>32</v>
      </c>
      <c r="N28" s="46">
        <f>sop</f>
        <v>48</v>
      </c>
      <c r="O28" s="46">
        <f>pou</f>
        <v>51</v>
      </c>
      <c r="P28" s="288">
        <f t="shared" si="0"/>
        <v>16</v>
      </c>
      <c r="Q28" s="64">
        <f t="shared" si="1"/>
        <v>4</v>
      </c>
      <c r="R28" s="323">
        <f t="shared" si="3"/>
        <v>61</v>
      </c>
      <c r="S28" s="83">
        <f t="shared" si="4"/>
        <v>9</v>
      </c>
      <c r="T28" s="47"/>
      <c r="U28" s="59"/>
      <c r="V28" s="101" t="s">
        <v>155</v>
      </c>
      <c r="W28" s="63">
        <f>mem</f>
        <v>12</v>
      </c>
      <c r="X28" s="63">
        <f>rai</f>
        <v>12</v>
      </c>
      <c r="Y28" s="63">
        <f>inu</f>
        <v>24</v>
      </c>
      <c r="Z28" s="289">
        <f t="shared" si="5"/>
        <v>6</v>
      </c>
      <c r="AA28" s="278">
        <f t="shared" si="6"/>
        <v>2</v>
      </c>
      <c r="AB28" s="276">
        <f t="shared" si="2"/>
        <v>21</v>
      </c>
      <c r="AC28" s="322">
        <f t="shared" si="7"/>
        <v>3</v>
      </c>
      <c r="AD28" s="46"/>
      <c r="AE28" s="65"/>
      <c r="AF28" s="16"/>
      <c r="AG28" s="153"/>
      <c r="AH28" s="153"/>
      <c r="AI28" s="153"/>
      <c r="AJ28" s="153"/>
      <c r="AK28" s="153"/>
      <c r="AL28" s="153"/>
      <c r="AM28" s="153"/>
      <c r="AN28" s="153"/>
      <c r="AO28" s="150"/>
      <c r="AP28" s="183"/>
      <c r="AQ28" s="28"/>
      <c r="AR28" s="190"/>
      <c r="AS28" s="186"/>
      <c r="AT28" s="185"/>
      <c r="AU28" s="195"/>
      <c r="AV28" s="197"/>
      <c r="AW28" s="197"/>
      <c r="AX28" s="197"/>
      <c r="AY28" s="199"/>
    </row>
    <row r="29" spans="1:51" ht="12.75" thickBot="1">
      <c r="A29" s="24" t="s">
        <v>80</v>
      </c>
      <c r="B29" s="14"/>
      <c r="C29" s="2" t="s">
        <v>53</v>
      </c>
      <c r="D29" s="330"/>
      <c r="E29" s="287"/>
      <c r="F29" s="331"/>
      <c r="G29" s="332"/>
      <c r="H29" s="15"/>
      <c r="I29" s="32" t="s">
        <v>100</v>
      </c>
      <c r="J29" s="28">
        <f>10000+(AD15*100)+pui*100</f>
        <v>15100</v>
      </c>
      <c r="L29" s="99" t="s">
        <v>129</v>
      </c>
      <c r="M29" s="79">
        <f>sou</f>
        <v>35</v>
      </c>
      <c r="N29" s="46">
        <f>sop</f>
        <v>48</v>
      </c>
      <c r="O29" s="46">
        <f>man</f>
        <v>32</v>
      </c>
      <c r="P29" s="288">
        <f t="shared" si="0"/>
        <v>18</v>
      </c>
      <c r="Q29" s="64">
        <f t="shared" si="1"/>
        <v>4</v>
      </c>
      <c r="R29" s="323">
        <f t="shared" si="3"/>
        <v>59</v>
      </c>
      <c r="S29" s="83">
        <f t="shared" si="4"/>
        <v>8</v>
      </c>
      <c r="T29" s="47"/>
      <c r="U29" s="59"/>
      <c r="V29" s="101" t="s">
        <v>156</v>
      </c>
      <c r="W29" s="63">
        <f>car</f>
        <v>22</v>
      </c>
      <c r="X29" s="63">
        <f>inu</f>
        <v>24</v>
      </c>
      <c r="Y29" s="63">
        <f>com</f>
        <v>19</v>
      </c>
      <c r="Z29" s="289">
        <f t="shared" si="5"/>
        <v>11</v>
      </c>
      <c r="AA29" s="278">
        <f t="shared" si="6"/>
        <v>3</v>
      </c>
      <c r="AB29" s="276">
        <f t="shared" si="2"/>
        <v>34</v>
      </c>
      <c r="AC29" s="322">
        <f t="shared" si="7"/>
        <v>5</v>
      </c>
      <c r="AD29" s="46"/>
      <c r="AE29" s="65"/>
      <c r="AF29" s="20"/>
      <c r="AG29" s="154"/>
      <c r="AH29" s="154"/>
      <c r="AI29" s="154"/>
      <c r="AJ29" s="154"/>
      <c r="AK29" s="154"/>
      <c r="AL29" s="154"/>
      <c r="AM29" s="154"/>
      <c r="AN29" s="154"/>
      <c r="AO29" s="154"/>
      <c r="AP29" s="182">
        <v>3</v>
      </c>
      <c r="AQ29" s="26"/>
      <c r="AR29" s="189"/>
      <c r="AS29" s="193"/>
      <c r="AT29" s="194"/>
      <c r="AU29" s="126"/>
      <c r="AV29" s="196"/>
      <c r="AW29" s="196"/>
      <c r="AX29" s="196"/>
      <c r="AY29" s="198"/>
    </row>
    <row r="30" spans="1:51" ht="12.75" thickBot="1">
      <c r="A30" s="16" t="s">
        <v>54</v>
      </c>
      <c r="B30" s="17"/>
      <c r="C30" s="18" t="s">
        <v>55</v>
      </c>
      <c r="D30" s="333">
        <v>19</v>
      </c>
      <c r="E30" s="334">
        <v>19</v>
      </c>
      <c r="F30" s="338"/>
      <c r="G30" s="333">
        <v>38</v>
      </c>
      <c r="H30" s="19"/>
      <c r="I30" s="29" t="s">
        <v>95</v>
      </c>
      <c r="J30" s="26">
        <v>0</v>
      </c>
      <c r="L30" s="99" t="s">
        <v>130</v>
      </c>
      <c r="M30" s="79">
        <f>coo</f>
        <v>45</v>
      </c>
      <c r="N30" s="46">
        <f>equ</f>
        <v>33</v>
      </c>
      <c r="O30" s="46">
        <f>pou</f>
        <v>51</v>
      </c>
      <c r="P30" s="288">
        <f t="shared" si="0"/>
        <v>23</v>
      </c>
      <c r="Q30" s="64">
        <f t="shared" si="1"/>
        <v>5</v>
      </c>
      <c r="R30" s="323">
        <f t="shared" si="3"/>
        <v>63</v>
      </c>
      <c r="S30" s="83">
        <f t="shared" si="4"/>
        <v>9</v>
      </c>
      <c r="T30" s="47"/>
      <c r="U30" s="59"/>
      <c r="V30" s="101" t="s">
        <v>157</v>
      </c>
      <c r="W30" s="63">
        <f>car</f>
        <v>22</v>
      </c>
      <c r="X30" s="63">
        <f>mem</f>
        <v>12</v>
      </c>
      <c r="Y30" s="63">
        <f>voi</f>
        <v>7</v>
      </c>
      <c r="Z30" s="289">
        <f t="shared" si="5"/>
        <v>11</v>
      </c>
      <c r="AA30" s="278">
        <f t="shared" si="6"/>
        <v>3</v>
      </c>
      <c r="AB30" s="276">
        <f t="shared" si="2"/>
        <v>25</v>
      </c>
      <c r="AC30" s="322">
        <f t="shared" si="7"/>
        <v>4</v>
      </c>
      <c r="AD30" s="46"/>
      <c r="AE30" s="65"/>
      <c r="AF30" s="36" t="s">
        <v>289</v>
      </c>
      <c r="AP30" s="183"/>
      <c r="AQ30" s="28"/>
      <c r="AR30" s="190"/>
      <c r="AS30" s="186"/>
      <c r="AT30" s="185"/>
      <c r="AU30" s="195"/>
      <c r="AV30" s="197"/>
      <c r="AW30" s="197"/>
      <c r="AX30" s="197"/>
      <c r="AY30" s="199"/>
    </row>
    <row r="31" spans="1:51" ht="12.75" thickBot="1">
      <c r="A31" s="20" t="s">
        <v>56</v>
      </c>
      <c r="B31" s="21"/>
      <c r="C31" s="6" t="s">
        <v>57</v>
      </c>
      <c r="D31" s="336">
        <v>19</v>
      </c>
      <c r="E31" s="337">
        <v>24</v>
      </c>
      <c r="F31" s="339"/>
      <c r="G31" s="336">
        <v>38</v>
      </c>
      <c r="H31" s="22"/>
      <c r="I31" s="30" t="s">
        <v>260</v>
      </c>
      <c r="J31" s="169">
        <f>ROUNDUP((mem+2*res+2*inu)/20,0)+ROUNDUP(mel/2,0)</f>
        <v>6</v>
      </c>
      <c r="L31" s="99" t="s">
        <v>131</v>
      </c>
      <c r="M31" s="79">
        <f>sop</f>
        <v>48</v>
      </c>
      <c r="N31" s="46">
        <f>man</f>
        <v>32</v>
      </c>
      <c r="O31" s="46">
        <f>coo</f>
        <v>45</v>
      </c>
      <c r="P31" s="288">
        <f t="shared" si="0"/>
        <v>24</v>
      </c>
      <c r="Q31" s="64">
        <f t="shared" si="1"/>
        <v>5</v>
      </c>
      <c r="R31" s="323">
        <f t="shared" si="3"/>
        <v>64</v>
      </c>
      <c r="S31" s="83">
        <f t="shared" si="4"/>
        <v>9</v>
      </c>
      <c r="T31" s="47"/>
      <c r="U31" s="59"/>
      <c r="V31" s="101" t="s">
        <v>158</v>
      </c>
      <c r="W31" s="63">
        <f>man</f>
        <v>32</v>
      </c>
      <c r="X31" s="63">
        <f>car</f>
        <v>22</v>
      </c>
      <c r="Y31" s="63">
        <f>mem</f>
        <v>12</v>
      </c>
      <c r="Z31" s="289">
        <f t="shared" si="5"/>
        <v>16</v>
      </c>
      <c r="AA31" s="278">
        <f t="shared" si="6"/>
        <v>4</v>
      </c>
      <c r="AB31" s="276">
        <f t="shared" si="2"/>
        <v>38</v>
      </c>
      <c r="AC31" s="322">
        <f t="shared" si="7"/>
        <v>6</v>
      </c>
      <c r="AD31" s="46"/>
      <c r="AE31" s="65"/>
      <c r="AF31" s="235" t="s">
        <v>250</v>
      </c>
      <c r="AG31" s="157"/>
      <c r="AH31" s="157"/>
      <c r="AI31" s="236">
        <f>sanb+1</f>
        <v>4</v>
      </c>
      <c r="AJ31" s="152"/>
      <c r="AK31" s="152"/>
      <c r="AL31" s="152"/>
      <c r="AM31" s="152"/>
      <c r="AN31" s="152"/>
      <c r="AO31" s="149"/>
      <c r="AP31" s="182">
        <v>4</v>
      </c>
      <c r="AQ31" s="26"/>
      <c r="AR31" s="189"/>
      <c r="AS31" s="193"/>
      <c r="AT31" s="194"/>
      <c r="AU31" s="126"/>
      <c r="AV31" s="196"/>
      <c r="AW31" s="196"/>
      <c r="AX31" s="196"/>
      <c r="AY31" s="198"/>
    </row>
    <row r="32" spans="1:51" ht="12.75" thickBot="1">
      <c r="A32" s="24" t="s">
        <v>81</v>
      </c>
      <c r="B32" s="14"/>
      <c r="C32" s="2" t="s">
        <v>58</v>
      </c>
      <c r="D32" s="330"/>
      <c r="E32" s="287"/>
      <c r="F32" s="331"/>
      <c r="G32" s="332"/>
      <c r="H32" s="15"/>
      <c r="I32" s="30" t="s">
        <v>96</v>
      </c>
      <c r="J32" s="31">
        <f>ROUNDUP((mem+res+inu)/10,0)</f>
        <v>6</v>
      </c>
      <c r="L32" s="99" t="s">
        <v>132</v>
      </c>
      <c r="M32" s="79">
        <f>pui</f>
        <v>51</v>
      </c>
      <c r="N32" s="46">
        <f>sou</f>
        <v>35</v>
      </c>
      <c r="O32" s="46">
        <f>coo</f>
        <v>45</v>
      </c>
      <c r="P32" s="288">
        <f t="shared" si="0"/>
        <v>26</v>
      </c>
      <c r="Q32" s="64">
        <f t="shared" si="1"/>
        <v>6</v>
      </c>
      <c r="R32" s="323">
        <f t="shared" si="3"/>
        <v>67</v>
      </c>
      <c r="S32" s="83">
        <f t="shared" si="4"/>
        <v>9</v>
      </c>
      <c r="T32" s="47"/>
      <c r="U32" s="59"/>
      <c r="V32" s="101" t="s">
        <v>159</v>
      </c>
      <c r="W32" s="63">
        <f>mem</f>
        <v>12</v>
      </c>
      <c r="X32" s="63">
        <f>inu</f>
        <v>24</v>
      </c>
      <c r="Y32" s="63">
        <f>rai</f>
        <v>12</v>
      </c>
      <c r="Z32" s="289">
        <f t="shared" si="5"/>
        <v>6</v>
      </c>
      <c r="AA32" s="278">
        <f t="shared" si="6"/>
        <v>2</v>
      </c>
      <c r="AB32" s="276">
        <f t="shared" si="2"/>
        <v>24</v>
      </c>
      <c r="AC32" s="322">
        <f t="shared" si="7"/>
        <v>4</v>
      </c>
      <c r="AD32" s="46"/>
      <c r="AE32" s="65"/>
      <c r="AF32" s="146"/>
      <c r="AG32" s="147"/>
      <c r="AH32" s="147"/>
      <c r="AI32" s="147"/>
      <c r="AJ32" s="153"/>
      <c r="AK32" s="153"/>
      <c r="AL32" s="153"/>
      <c r="AM32" s="153"/>
      <c r="AN32" s="153"/>
      <c r="AO32" s="150"/>
      <c r="AP32" s="183"/>
      <c r="AQ32" s="28"/>
      <c r="AR32" s="190"/>
      <c r="AS32" s="186"/>
      <c r="AT32" s="185"/>
      <c r="AU32" s="195"/>
      <c r="AV32" s="197"/>
      <c r="AW32" s="197"/>
      <c r="AX32" s="197"/>
      <c r="AY32" s="199"/>
    </row>
    <row r="33" spans="1:51" ht="12">
      <c r="A33" s="16" t="s">
        <v>59</v>
      </c>
      <c r="B33" s="17"/>
      <c r="C33" s="18" t="s">
        <v>60</v>
      </c>
      <c r="D33" s="333">
        <v>16</v>
      </c>
      <c r="E33" s="334">
        <v>64</v>
      </c>
      <c r="F33" s="335">
        <f>IF(E33&gt;104,5,IF(E33&gt;75,4,IF(E33&gt;50,3,IF(E33&gt;30,2,IF(E33&gt;15,1,0)))))</f>
        <v>3</v>
      </c>
      <c r="G33" s="333">
        <v>64</v>
      </c>
      <c r="H33" s="19"/>
      <c r="I33" s="30" t="s">
        <v>97</v>
      </c>
      <c r="J33" s="31">
        <f>mel*ml</f>
        <v>0</v>
      </c>
      <c r="L33" s="99" t="s">
        <v>133</v>
      </c>
      <c r="M33" s="79">
        <f>pou</f>
        <v>51</v>
      </c>
      <c r="N33" s="46">
        <f>coo</f>
        <v>45</v>
      </c>
      <c r="O33" s="46">
        <f>man</f>
        <v>32</v>
      </c>
      <c r="P33" s="288">
        <f t="shared" si="0"/>
        <v>26</v>
      </c>
      <c r="Q33" s="64">
        <f t="shared" si="1"/>
        <v>6</v>
      </c>
      <c r="R33" s="323">
        <f t="shared" si="3"/>
        <v>69</v>
      </c>
      <c r="S33" s="83">
        <f t="shared" si="4"/>
        <v>10</v>
      </c>
      <c r="T33" s="47"/>
      <c r="U33" s="59"/>
      <c r="V33" s="101" t="s">
        <v>160</v>
      </c>
      <c r="W33" s="63">
        <f>rai</f>
        <v>12</v>
      </c>
      <c r="X33" s="63">
        <f>mem</f>
        <v>12</v>
      </c>
      <c r="Y33" s="63">
        <f>com</f>
        <v>19</v>
      </c>
      <c r="Z33" s="289">
        <f t="shared" si="5"/>
        <v>6</v>
      </c>
      <c r="AA33" s="278">
        <f t="shared" si="6"/>
        <v>2</v>
      </c>
      <c r="AB33" s="276">
        <f t="shared" si="2"/>
        <v>20</v>
      </c>
      <c r="AC33" s="322">
        <f t="shared" si="7"/>
        <v>3</v>
      </c>
      <c r="AD33" s="46"/>
      <c r="AE33" s="65"/>
      <c r="AF33" s="16"/>
      <c r="AG33" s="153"/>
      <c r="AH33" s="153"/>
      <c r="AI33" s="153"/>
      <c r="AJ33" s="153"/>
      <c r="AK33" s="153"/>
      <c r="AL33" s="153"/>
      <c r="AM33" s="153"/>
      <c r="AN33" s="153"/>
      <c r="AO33" s="150"/>
      <c r="AP33" s="182">
        <v>5</v>
      </c>
      <c r="AQ33" s="26"/>
      <c r="AR33" s="189"/>
      <c r="AS33" s="193"/>
      <c r="AT33" s="194"/>
      <c r="AU33" s="126"/>
      <c r="AV33" s="196"/>
      <c r="AW33" s="196"/>
      <c r="AX33" s="196"/>
      <c r="AY33" s="198"/>
    </row>
    <row r="34" spans="1:51" ht="12.75" thickBot="1">
      <c r="A34" s="20" t="s">
        <v>61</v>
      </c>
      <c r="B34" s="21"/>
      <c r="C34" s="6" t="s">
        <v>62</v>
      </c>
      <c r="D34" s="336">
        <v>20</v>
      </c>
      <c r="E34" s="337">
        <v>80</v>
      </c>
      <c r="F34" s="335">
        <f>IF(E34&gt;104,5,IF(E34&gt;75,4,IF(E34&gt;50,3,IF(E34&gt;30,2,IF(E34&gt;15,1,0)))))</f>
        <v>4</v>
      </c>
      <c r="G34" s="336">
        <v>80</v>
      </c>
      <c r="H34" s="22"/>
      <c r="I34" s="32" t="s">
        <v>98</v>
      </c>
      <c r="J34" s="28"/>
      <c r="L34" s="62"/>
      <c r="M34" s="79"/>
      <c r="N34" s="46"/>
      <c r="O34" s="46"/>
      <c r="P34" s="288"/>
      <c r="Q34" s="64"/>
      <c r="R34" s="64"/>
      <c r="S34" s="83"/>
      <c r="T34" s="47"/>
      <c r="U34" s="59"/>
      <c r="V34" s="101" t="s">
        <v>161</v>
      </c>
      <c r="W34" s="63">
        <f>man</f>
        <v>32</v>
      </c>
      <c r="X34" s="63">
        <f>coo</f>
        <v>45</v>
      </c>
      <c r="Y34" s="63">
        <f>mem</f>
        <v>12</v>
      </c>
      <c r="Z34" s="289">
        <f t="shared" si="5"/>
        <v>16</v>
      </c>
      <c r="AA34" s="278">
        <f t="shared" si="6"/>
        <v>4</v>
      </c>
      <c r="AB34" s="276">
        <f t="shared" si="2"/>
        <v>50</v>
      </c>
      <c r="AC34" s="322">
        <f t="shared" si="7"/>
        <v>7</v>
      </c>
      <c r="AD34" s="46"/>
      <c r="AE34" s="65"/>
      <c r="AF34" s="20"/>
      <c r="AG34" s="154"/>
      <c r="AH34" s="154"/>
      <c r="AI34" s="154"/>
      <c r="AJ34" s="154"/>
      <c r="AK34" s="154"/>
      <c r="AL34" s="154"/>
      <c r="AM34" s="154"/>
      <c r="AN34" s="154"/>
      <c r="AO34" s="151"/>
      <c r="AP34" s="183"/>
      <c r="AQ34" s="28"/>
      <c r="AR34" s="190"/>
      <c r="AS34" s="186"/>
      <c r="AT34" s="185"/>
      <c r="AU34" s="195"/>
      <c r="AV34" s="197"/>
      <c r="AW34" s="197"/>
      <c r="AX34" s="197"/>
      <c r="AY34" s="199"/>
    </row>
    <row r="35" spans="1:51" ht="12.75" thickBot="1">
      <c r="A35" s="24" t="s">
        <v>82</v>
      </c>
      <c r="B35" s="14"/>
      <c r="C35" s="2" t="s">
        <v>63</v>
      </c>
      <c r="D35" s="330"/>
      <c r="E35" s="287"/>
      <c r="F35" s="331"/>
      <c r="G35" s="332"/>
      <c r="H35" s="15"/>
      <c r="I35" s="25" t="s">
        <v>99</v>
      </c>
      <c r="J35" s="26">
        <f>ROUNDUP((5*res+rap+2*inu+2*san)/5,0)</f>
        <v>61</v>
      </c>
      <c r="L35" s="62"/>
      <c r="M35" s="79"/>
      <c r="N35" s="46"/>
      <c r="O35" s="46"/>
      <c r="P35" s="288"/>
      <c r="Q35" s="64"/>
      <c r="R35" s="64"/>
      <c r="S35" s="83"/>
      <c r="T35" s="47"/>
      <c r="U35" s="59"/>
      <c r="V35" s="101" t="s">
        <v>162</v>
      </c>
      <c r="W35" s="63">
        <f>man</f>
        <v>32</v>
      </c>
      <c r="X35" s="63">
        <f>rai</f>
        <v>12</v>
      </c>
      <c r="Y35" s="63">
        <f>coo</f>
        <v>45</v>
      </c>
      <c r="Z35" s="289">
        <f t="shared" si="5"/>
        <v>16</v>
      </c>
      <c r="AA35" s="278">
        <f t="shared" si="6"/>
        <v>4</v>
      </c>
      <c r="AB35" s="276">
        <f t="shared" si="2"/>
        <v>42</v>
      </c>
      <c r="AC35" s="322">
        <f t="shared" si="7"/>
        <v>6</v>
      </c>
      <c r="AD35" s="46"/>
      <c r="AE35" s="65"/>
      <c r="AF35" s="267" t="s">
        <v>284</v>
      </c>
      <c r="AG35" s="268"/>
      <c r="AH35" s="269"/>
      <c r="AI35" s="36"/>
      <c r="AJ35" s="36"/>
      <c r="AK35" s="36"/>
      <c r="AP35" s="182">
        <v>6</v>
      </c>
      <c r="AQ35" s="26"/>
      <c r="AR35" s="189"/>
      <c r="AS35" s="193"/>
      <c r="AT35" s="194"/>
      <c r="AU35" s="126"/>
      <c r="AV35" s="196"/>
      <c r="AW35" s="196"/>
      <c r="AX35" s="196"/>
      <c r="AY35" s="198"/>
    </row>
    <row r="36" spans="1:51" ht="12.75" thickBot="1">
      <c r="A36" s="16" t="s">
        <v>64</v>
      </c>
      <c r="B36" s="17"/>
      <c r="C36" s="18" t="s">
        <v>65</v>
      </c>
      <c r="D36" s="333">
        <v>16</v>
      </c>
      <c r="E36" s="334">
        <v>32</v>
      </c>
      <c r="F36" s="338"/>
      <c r="G36" s="333">
        <v>32</v>
      </c>
      <c r="H36" s="19"/>
      <c r="I36" s="27">
        <v>0.05</v>
      </c>
      <c r="J36" s="28">
        <f>ROUNDUP(enl*I36,0)</f>
        <v>4</v>
      </c>
      <c r="L36" s="62"/>
      <c r="M36" s="79"/>
      <c r="N36" s="46"/>
      <c r="O36" s="46"/>
      <c r="P36" s="288"/>
      <c r="Q36" s="64"/>
      <c r="R36" s="64"/>
      <c r="S36" s="83"/>
      <c r="T36" s="47"/>
      <c r="U36" s="59"/>
      <c r="V36" s="101" t="s">
        <v>163</v>
      </c>
      <c r="W36" s="63">
        <f>man</f>
        <v>32</v>
      </c>
      <c r="X36" s="63">
        <f>pou</f>
        <v>51</v>
      </c>
      <c r="Y36" s="63">
        <f>coo</f>
        <v>45</v>
      </c>
      <c r="Z36" s="289">
        <f t="shared" si="5"/>
        <v>16</v>
      </c>
      <c r="AA36" s="278">
        <f t="shared" si="6"/>
        <v>4</v>
      </c>
      <c r="AB36" s="276">
        <f t="shared" si="2"/>
        <v>61</v>
      </c>
      <c r="AC36" s="322">
        <f t="shared" si="7"/>
        <v>9</v>
      </c>
      <c r="AD36" s="46"/>
      <c r="AE36" s="65"/>
      <c r="AF36" s="111" t="s">
        <v>287</v>
      </c>
      <c r="AG36" s="207"/>
      <c r="AH36" s="214" t="s">
        <v>286</v>
      </c>
      <c r="AI36" s="297" t="s">
        <v>317</v>
      </c>
      <c r="AJ36" s="298"/>
      <c r="AP36" s="183"/>
      <c r="AQ36" s="28"/>
      <c r="AR36" s="190"/>
      <c r="AS36" s="186"/>
      <c r="AT36" s="185"/>
      <c r="AU36" s="195"/>
      <c r="AV36" s="197"/>
      <c r="AW36" s="197"/>
      <c r="AX36" s="197"/>
      <c r="AY36" s="199"/>
    </row>
    <row r="37" spans="1:51" ht="12.75" thickBot="1">
      <c r="A37" s="20" t="s">
        <v>66</v>
      </c>
      <c r="B37" s="21"/>
      <c r="C37" s="6" t="s">
        <v>67</v>
      </c>
      <c r="D37" s="336">
        <v>20</v>
      </c>
      <c r="E37" s="337">
        <v>40</v>
      </c>
      <c r="F37" s="339"/>
      <c r="G37" s="336">
        <v>40</v>
      </c>
      <c r="H37" s="22"/>
      <c r="I37" s="1" t="s">
        <v>261</v>
      </c>
      <c r="J37" s="172">
        <f>(robb+fatb)*2</f>
        <v>12</v>
      </c>
      <c r="L37" s="62"/>
      <c r="M37" s="79"/>
      <c r="N37" s="46"/>
      <c r="O37" s="46"/>
      <c r="P37" s="288"/>
      <c r="Q37" s="64"/>
      <c r="R37" s="64"/>
      <c r="S37" s="83"/>
      <c r="T37" s="47"/>
      <c r="U37" s="59"/>
      <c r="V37" s="101" t="s">
        <v>164</v>
      </c>
      <c r="W37" s="63">
        <f>com</f>
        <v>19</v>
      </c>
      <c r="X37" s="63">
        <f>rai</f>
        <v>12</v>
      </c>
      <c r="Y37" s="63">
        <f>rai</f>
        <v>12</v>
      </c>
      <c r="Z37" s="289">
        <f t="shared" si="5"/>
        <v>10</v>
      </c>
      <c r="AA37" s="278">
        <f t="shared" si="6"/>
        <v>2</v>
      </c>
      <c r="AB37" s="276">
        <f t="shared" si="2"/>
        <v>24</v>
      </c>
      <c r="AC37" s="322">
        <f t="shared" si="7"/>
        <v>4</v>
      </c>
      <c r="AD37" s="46"/>
      <c r="AE37" s="65"/>
      <c r="AF37" s="208">
        <v>1</v>
      </c>
      <c r="AG37" s="211">
        <f>ROUNDUP(hpv/4,0)</f>
        <v>11</v>
      </c>
      <c r="AH37" s="215">
        <f>20-res</f>
        <v>-4</v>
      </c>
      <c r="AI37" s="299">
        <f>21-res</f>
        <v>-3</v>
      </c>
      <c r="AJ37" s="168">
        <f>AI37+25</f>
        <v>22</v>
      </c>
      <c r="AP37" s="182">
        <v>7</v>
      </c>
      <c r="AQ37" s="26"/>
      <c r="AR37" s="189"/>
      <c r="AS37" s="193"/>
      <c r="AT37" s="194"/>
      <c r="AU37" s="126"/>
      <c r="AV37" s="196"/>
      <c r="AW37" s="196"/>
      <c r="AX37" s="196"/>
      <c r="AY37" s="198"/>
    </row>
    <row r="38" spans="9:51" ht="12.75" thickBot="1">
      <c r="I38" s="23" t="s">
        <v>262</v>
      </c>
      <c r="J38" s="171">
        <f>ROUNDUP((rai+2*car+4*voi+3*inu)/5,0)</f>
        <v>32</v>
      </c>
      <c r="L38" s="62"/>
      <c r="M38" s="79"/>
      <c r="N38" s="46"/>
      <c r="O38" s="46"/>
      <c r="P38" s="288"/>
      <c r="Q38" s="64"/>
      <c r="R38" s="64"/>
      <c r="S38" s="83"/>
      <c r="T38" s="47"/>
      <c r="U38" s="59"/>
      <c r="V38" s="101" t="s">
        <v>165</v>
      </c>
      <c r="W38" s="63">
        <f>fat</f>
        <v>31</v>
      </c>
      <c r="X38" s="63">
        <f>pui</f>
        <v>51</v>
      </c>
      <c r="Y38" s="63">
        <f>sop</f>
        <v>48</v>
      </c>
      <c r="Z38" s="289">
        <f t="shared" si="5"/>
        <v>16</v>
      </c>
      <c r="AA38" s="278">
        <f t="shared" si="6"/>
        <v>4</v>
      </c>
      <c r="AB38" s="276">
        <f t="shared" si="2"/>
        <v>61</v>
      </c>
      <c r="AC38" s="322">
        <f t="shared" si="7"/>
        <v>9</v>
      </c>
      <c r="AD38" s="46"/>
      <c r="AE38" s="65"/>
      <c r="AF38" s="209">
        <f>AG37+1</f>
        <v>12</v>
      </c>
      <c r="AG38" s="212">
        <f>ROUNDUP(hpv/2,0)</f>
        <v>21</v>
      </c>
      <c r="AH38" s="216">
        <f>40-res</f>
        <v>16</v>
      </c>
      <c r="AI38" s="300">
        <f>41-res</f>
        <v>17</v>
      </c>
      <c r="AJ38" s="169">
        <f>AI38+25</f>
        <v>42</v>
      </c>
      <c r="AP38" s="183"/>
      <c r="AQ38" s="28"/>
      <c r="AR38" s="190"/>
      <c r="AS38" s="186"/>
      <c r="AT38" s="185"/>
      <c r="AU38" s="195"/>
      <c r="AV38" s="197"/>
      <c r="AW38" s="197"/>
      <c r="AX38" s="197"/>
      <c r="AY38" s="199"/>
    </row>
    <row r="39" spans="1:51" ht="12.75" thickBot="1">
      <c r="A39" s="1" t="s">
        <v>68</v>
      </c>
      <c r="B39" s="170">
        <v>50</v>
      </c>
      <c r="D39" s="13" t="s">
        <v>222</v>
      </c>
      <c r="E39" s="111" t="s">
        <v>219</v>
      </c>
      <c r="F39" s="113" t="s">
        <v>220</v>
      </c>
      <c r="I39" s="23" t="s">
        <v>66</v>
      </c>
      <c r="J39" s="238">
        <f>IF(cha&gt;96,15,IF(cha&gt;66,10,IF(cha&gt;36,5,IF(cha&gt;16,0,-5))))</f>
        <v>5</v>
      </c>
      <c r="L39" s="62"/>
      <c r="M39" s="79"/>
      <c r="N39" s="46"/>
      <c r="O39" s="46"/>
      <c r="P39" s="288"/>
      <c r="Q39" s="64"/>
      <c r="R39" s="64"/>
      <c r="S39" s="83"/>
      <c r="T39" s="47"/>
      <c r="U39" s="59"/>
      <c r="V39" s="101" t="s">
        <v>166</v>
      </c>
      <c r="W39" s="63">
        <f>mem</f>
        <v>12</v>
      </c>
      <c r="X39" s="63">
        <f>car</f>
        <v>22</v>
      </c>
      <c r="Y39" s="63">
        <f>rai</f>
        <v>12</v>
      </c>
      <c r="Z39" s="289">
        <f t="shared" si="5"/>
        <v>6</v>
      </c>
      <c r="AA39" s="278">
        <f t="shared" si="6"/>
        <v>2</v>
      </c>
      <c r="AB39" s="276">
        <f t="shared" si="2"/>
        <v>23</v>
      </c>
      <c r="AC39" s="322">
        <f t="shared" si="7"/>
        <v>4</v>
      </c>
      <c r="AD39" s="46"/>
      <c r="AE39" s="65"/>
      <c r="AF39" s="209">
        <f>AG38+1</f>
        <v>22</v>
      </c>
      <c r="AG39" s="212">
        <f>ROUNDUP(3*hpv/4,0)</f>
        <v>31</v>
      </c>
      <c r="AH39" s="216">
        <f>60-res</f>
        <v>36</v>
      </c>
      <c r="AI39" s="300">
        <f>61-res</f>
        <v>37</v>
      </c>
      <c r="AJ39" s="169">
        <f>AI39+25</f>
        <v>62</v>
      </c>
      <c r="AP39" s="182">
        <v>8</v>
      </c>
      <c r="AQ39" s="26"/>
      <c r="AR39" s="189"/>
      <c r="AS39" s="193"/>
      <c r="AT39" s="194"/>
      <c r="AU39" s="126"/>
      <c r="AV39" s="196"/>
      <c r="AW39" s="196"/>
      <c r="AX39" s="196"/>
      <c r="AY39" s="198"/>
    </row>
    <row r="40" spans="1:51" ht="12.75" thickBot="1">
      <c r="A40" s="23" t="s">
        <v>69</v>
      </c>
      <c r="B40" s="171">
        <v>50</v>
      </c>
      <c r="D40" s="116" t="s">
        <v>104</v>
      </c>
      <c r="E40" s="108">
        <f>ROUNDUP(20+(poun+fatn+coon+equn+sann)/8,0)</f>
        <v>30</v>
      </c>
      <c r="F40" s="115">
        <f>ROUNDUP(20+(memn+resn+voin+inun+chan)/8,0)</f>
        <v>29</v>
      </c>
      <c r="G40" s="136" t="s">
        <v>288</v>
      </c>
      <c r="I40" s="23" t="s">
        <v>263</v>
      </c>
      <c r="J40" s="293">
        <f>ROUNDUP(((poub+fatb+sanb-sopb-coob-1)*10)-(res/20),0)</f>
        <v>29</v>
      </c>
      <c r="L40" s="62"/>
      <c r="M40" s="79"/>
      <c r="N40" s="46"/>
      <c r="O40" s="46"/>
      <c r="P40" s="288"/>
      <c r="Q40" s="64"/>
      <c r="R40" s="64"/>
      <c r="S40" s="83"/>
      <c r="T40" s="47"/>
      <c r="U40" s="59"/>
      <c r="V40" s="101" t="s">
        <v>167</v>
      </c>
      <c r="W40" s="63">
        <f>fat</f>
        <v>31</v>
      </c>
      <c r="X40" s="63">
        <f>sop</f>
        <v>48</v>
      </c>
      <c r="Y40" s="63">
        <f>pou</f>
        <v>51</v>
      </c>
      <c r="Z40" s="289">
        <f t="shared" si="5"/>
        <v>16</v>
      </c>
      <c r="AA40" s="278">
        <f t="shared" si="6"/>
        <v>4</v>
      </c>
      <c r="AB40" s="276">
        <f t="shared" si="2"/>
        <v>60</v>
      </c>
      <c r="AC40" s="322">
        <f t="shared" si="7"/>
        <v>8</v>
      </c>
      <c r="AD40" s="46"/>
      <c r="AE40" s="65"/>
      <c r="AF40" s="210">
        <f>AG39+1</f>
        <v>32</v>
      </c>
      <c r="AG40" s="213" t="s">
        <v>285</v>
      </c>
      <c r="AH40" s="217">
        <f>80-res</f>
        <v>56</v>
      </c>
      <c r="AI40" s="301">
        <f>81-res</f>
        <v>57</v>
      </c>
      <c r="AJ40" s="167">
        <f>AI40+25</f>
        <v>82</v>
      </c>
      <c r="AP40" s="183"/>
      <c r="AQ40" s="28"/>
      <c r="AR40" s="190"/>
      <c r="AS40" s="186"/>
      <c r="AT40" s="185"/>
      <c r="AU40" s="195"/>
      <c r="AV40" s="197"/>
      <c r="AW40" s="197"/>
      <c r="AX40" s="197"/>
      <c r="AY40" s="199"/>
    </row>
    <row r="41" spans="1:51" ht="12.75" thickBot="1">
      <c r="A41" s="23" t="s">
        <v>70</v>
      </c>
      <c r="B41" s="171">
        <v>50</v>
      </c>
      <c r="D41" s="117" t="s">
        <v>105</v>
      </c>
      <c r="E41" s="114">
        <f>ROUNDUP(20+(poun+fatn+coon+equn+sann)/4,0)</f>
        <v>40</v>
      </c>
      <c r="F41" s="218">
        <f>ROUNDUP(20+(memn+resn+voin+inun+chan)/4,0)</f>
        <v>37</v>
      </c>
      <c r="G41" s="136" t="s">
        <v>323</v>
      </c>
      <c r="I41" s="5" t="s">
        <v>101</v>
      </c>
      <c r="J41" s="7">
        <f>ROUNDUP(7+sop/10+INT((poub+sanb+sofb)/5),0)</f>
        <v>13</v>
      </c>
      <c r="L41" s="62"/>
      <c r="M41" s="79"/>
      <c r="N41" s="46"/>
      <c r="O41" s="46"/>
      <c r="P41" s="288"/>
      <c r="Q41" s="64"/>
      <c r="R41" s="64"/>
      <c r="S41" s="83"/>
      <c r="T41" s="47"/>
      <c r="U41" s="59"/>
      <c r="V41" s="99" t="s">
        <v>168</v>
      </c>
      <c r="W41" s="63">
        <f>man</f>
        <v>32</v>
      </c>
      <c r="X41" s="63">
        <f>mem</f>
        <v>12</v>
      </c>
      <c r="Y41" s="63">
        <f>car</f>
        <v>22</v>
      </c>
      <c r="Z41" s="288">
        <f t="shared" si="5"/>
        <v>16</v>
      </c>
      <c r="AA41" s="64">
        <f t="shared" si="6"/>
        <v>4</v>
      </c>
      <c r="AB41" s="323">
        <f t="shared" si="2"/>
        <v>36</v>
      </c>
      <c r="AC41" s="83">
        <f t="shared" si="7"/>
        <v>5</v>
      </c>
      <c r="AD41" s="46"/>
      <c r="AE41" s="65"/>
      <c r="AF41" s="36" t="s">
        <v>290</v>
      </c>
      <c r="AP41" s="182">
        <v>9</v>
      </c>
      <c r="AQ41" s="26"/>
      <c r="AR41" s="189"/>
      <c r="AS41" s="193"/>
      <c r="AT41" s="194"/>
      <c r="AU41" s="126"/>
      <c r="AV41" s="196"/>
      <c r="AW41" s="196"/>
      <c r="AX41" s="196"/>
      <c r="AY41" s="198"/>
    </row>
    <row r="42" spans="1:51" ht="12.75" thickBot="1">
      <c r="A42" s="23" t="s">
        <v>71</v>
      </c>
      <c r="B42" s="171">
        <v>50</v>
      </c>
      <c r="D42" s="20" t="s">
        <v>106</v>
      </c>
      <c r="E42" s="5">
        <f>ROUNDUP(20+(poun+fatn+coon+equn+sann)/2,0)</f>
        <v>60</v>
      </c>
      <c r="F42" s="22">
        <f>ROUNDUP(20+(memn+resn+voin+inun+chan)/2,0)</f>
        <v>53</v>
      </c>
      <c r="G42" s="136" t="s">
        <v>322</v>
      </c>
      <c r="L42" s="62"/>
      <c r="M42" s="79"/>
      <c r="N42" s="46"/>
      <c r="O42" s="46"/>
      <c r="P42" s="288"/>
      <c r="Q42" s="64"/>
      <c r="R42" s="64"/>
      <c r="S42" s="83"/>
      <c r="T42" s="47"/>
      <c r="U42" s="59"/>
      <c r="V42" s="101" t="s">
        <v>169</v>
      </c>
      <c r="W42" s="63">
        <f>rai</f>
        <v>12</v>
      </c>
      <c r="X42" s="63">
        <f>mem</f>
        <v>12</v>
      </c>
      <c r="Y42" s="63">
        <f>inu</f>
        <v>24</v>
      </c>
      <c r="Z42" s="289">
        <f t="shared" si="5"/>
        <v>6</v>
      </c>
      <c r="AA42" s="278">
        <f t="shared" si="6"/>
        <v>2</v>
      </c>
      <c r="AB42" s="276">
        <f t="shared" si="2"/>
        <v>21</v>
      </c>
      <c r="AC42" s="322">
        <f t="shared" si="7"/>
        <v>3</v>
      </c>
      <c r="AD42" s="46"/>
      <c r="AE42" s="65"/>
      <c r="AP42" s="183"/>
      <c r="AQ42" s="28"/>
      <c r="AR42" s="190"/>
      <c r="AS42" s="186"/>
      <c r="AT42" s="185"/>
      <c r="AU42" s="195"/>
      <c r="AV42" s="197"/>
      <c r="AW42" s="197"/>
      <c r="AX42" s="197"/>
      <c r="AY42" s="199"/>
    </row>
    <row r="43" spans="1:51" ht="12.75" thickBot="1">
      <c r="A43" s="23" t="s">
        <v>72</v>
      </c>
      <c r="B43" s="171">
        <v>50</v>
      </c>
      <c r="L43" s="62"/>
      <c r="M43" s="79"/>
      <c r="N43" s="46"/>
      <c r="O43" s="46"/>
      <c r="P43" s="288"/>
      <c r="Q43" s="64"/>
      <c r="R43" s="64"/>
      <c r="S43" s="83"/>
      <c r="T43" s="47"/>
      <c r="U43" s="59"/>
      <c r="V43" s="101" t="s">
        <v>170</v>
      </c>
      <c r="W43" s="63">
        <f>car</f>
        <v>22</v>
      </c>
      <c r="X43" s="63">
        <f>mem</f>
        <v>12</v>
      </c>
      <c r="Y43" s="63">
        <f>rap</f>
        <v>7</v>
      </c>
      <c r="Z43" s="289">
        <f t="shared" si="5"/>
        <v>11</v>
      </c>
      <c r="AA43" s="278">
        <f t="shared" si="6"/>
        <v>3</v>
      </c>
      <c r="AB43" s="276">
        <f t="shared" si="2"/>
        <v>25</v>
      </c>
      <c r="AC43" s="322">
        <f t="shared" si="7"/>
        <v>4</v>
      </c>
      <c r="AD43" s="46"/>
      <c r="AE43" s="65"/>
      <c r="AF43" s="10" t="s">
        <v>253</v>
      </c>
      <c r="AG43" s="40"/>
      <c r="AH43" s="9"/>
      <c r="AI43" s="38"/>
      <c r="AJ43" s="38"/>
      <c r="AK43" s="166"/>
      <c r="AL43" s="38"/>
      <c r="AM43" s="38"/>
      <c r="AN43" s="38"/>
      <c r="AO43" s="38"/>
      <c r="AP43" s="182">
        <v>10</v>
      </c>
      <c r="AQ43" s="26"/>
      <c r="AR43" s="189"/>
      <c r="AS43" s="193"/>
      <c r="AT43" s="194"/>
      <c r="AU43" s="126"/>
      <c r="AV43" s="196"/>
      <c r="AW43" s="196"/>
      <c r="AX43" s="196"/>
      <c r="AY43" s="198"/>
    </row>
    <row r="44" spans="1:51" ht="12.75" thickBot="1">
      <c r="A44" s="275" t="s">
        <v>307</v>
      </c>
      <c r="B44" s="7"/>
      <c r="L44" s="62"/>
      <c r="M44" s="79"/>
      <c r="N44" s="46"/>
      <c r="O44" s="46"/>
      <c r="P44" s="288"/>
      <c r="Q44" s="64"/>
      <c r="R44" s="64"/>
      <c r="S44" s="83"/>
      <c r="T44" s="47"/>
      <c r="U44" s="59"/>
      <c r="V44" s="101" t="s">
        <v>171</v>
      </c>
      <c r="W44" s="63">
        <f>com</f>
        <v>19</v>
      </c>
      <c r="X44" s="63">
        <f>rap</f>
        <v>7</v>
      </c>
      <c r="Y44" s="63">
        <f>rai</f>
        <v>12</v>
      </c>
      <c r="Z44" s="289">
        <f t="shared" si="5"/>
        <v>10</v>
      </c>
      <c r="AA44" s="278">
        <f t="shared" si="6"/>
        <v>2</v>
      </c>
      <c r="AB44" s="276">
        <f t="shared" si="2"/>
        <v>21</v>
      </c>
      <c r="AC44" s="322">
        <f t="shared" si="7"/>
        <v>3</v>
      </c>
      <c r="AD44" s="46"/>
      <c r="AE44" s="65"/>
      <c r="AF44" s="146"/>
      <c r="AG44" s="147"/>
      <c r="AH44" s="147"/>
      <c r="AI44" s="147"/>
      <c r="AJ44" s="147"/>
      <c r="AK44" s="115"/>
      <c r="AL44" s="147"/>
      <c r="AM44" s="147"/>
      <c r="AN44" s="147"/>
      <c r="AO44" s="148"/>
      <c r="AP44" s="183"/>
      <c r="AQ44" s="28"/>
      <c r="AR44" s="190"/>
      <c r="AS44" s="186"/>
      <c r="AT44" s="185"/>
      <c r="AU44" s="195"/>
      <c r="AV44" s="197"/>
      <c r="AW44" s="197"/>
      <c r="AX44" s="197"/>
      <c r="AY44" s="199"/>
    </row>
    <row r="45" spans="8:51" ht="12.75" thickBot="1">
      <c r="H45" s="116" t="s">
        <v>291</v>
      </c>
      <c r="I45" s="149"/>
      <c r="L45" s="62"/>
      <c r="M45" s="79"/>
      <c r="N45" s="46"/>
      <c r="O45" s="46"/>
      <c r="P45" s="288"/>
      <c r="Q45" s="64"/>
      <c r="R45" s="64"/>
      <c r="S45" s="83"/>
      <c r="T45" s="47"/>
      <c r="U45" s="59"/>
      <c r="V45" s="101" t="s">
        <v>172</v>
      </c>
      <c r="W45" s="63">
        <f>mem</f>
        <v>12</v>
      </c>
      <c r="X45" s="63">
        <f>com</f>
        <v>19</v>
      </c>
      <c r="Y45" s="63">
        <f>coo</f>
        <v>45</v>
      </c>
      <c r="Z45" s="289">
        <f t="shared" si="5"/>
        <v>6</v>
      </c>
      <c r="AA45" s="278">
        <f t="shared" si="6"/>
        <v>2</v>
      </c>
      <c r="AB45" s="276">
        <f t="shared" si="2"/>
        <v>30</v>
      </c>
      <c r="AC45" s="322">
        <f t="shared" si="7"/>
        <v>4</v>
      </c>
      <c r="AD45" s="46"/>
      <c r="AE45" s="65"/>
      <c r="AF45" s="16"/>
      <c r="AG45" s="153"/>
      <c r="AH45" s="153"/>
      <c r="AI45" s="153"/>
      <c r="AJ45" s="153"/>
      <c r="AK45" s="19"/>
      <c r="AL45" s="153"/>
      <c r="AM45" s="153"/>
      <c r="AN45" s="153"/>
      <c r="AO45" s="150"/>
      <c r="AP45" s="182">
        <v>11</v>
      </c>
      <c r="AQ45" s="26"/>
      <c r="AR45" s="189"/>
      <c r="AS45" s="193"/>
      <c r="AT45" s="194"/>
      <c r="AU45" s="126"/>
      <c r="AV45" s="196"/>
      <c r="AW45" s="196"/>
      <c r="AX45" s="196"/>
      <c r="AY45" s="198"/>
    </row>
    <row r="46" spans="1:51" ht="13.5" customHeight="1" thickBot="1">
      <c r="A46" s="88" t="s">
        <v>319</v>
      </c>
      <c r="B46" s="89" t="s">
        <v>197</v>
      </c>
      <c r="C46" s="89" t="s">
        <v>198</v>
      </c>
      <c r="D46" s="92" t="s">
        <v>320</v>
      </c>
      <c r="E46" s="327" t="s">
        <v>318</v>
      </c>
      <c r="F46" s="263"/>
      <c r="G46" s="311"/>
      <c r="H46" s="225" t="s">
        <v>219</v>
      </c>
      <c r="I46" s="226" t="s">
        <v>220</v>
      </c>
      <c r="J46" s="129" t="s">
        <v>210</v>
      </c>
      <c r="L46" s="82"/>
      <c r="M46" s="80"/>
      <c r="N46" s="69"/>
      <c r="O46" s="69"/>
      <c r="P46" s="290"/>
      <c r="Q46" s="84"/>
      <c r="R46" s="84"/>
      <c r="S46" s="85"/>
      <c r="T46" s="70"/>
      <c r="U46" s="71"/>
      <c r="V46" s="99" t="s">
        <v>173</v>
      </c>
      <c r="W46" s="63">
        <f>voi</f>
        <v>7</v>
      </c>
      <c r="X46" s="63">
        <f>mem</f>
        <v>12</v>
      </c>
      <c r="Y46" s="63">
        <f>car</f>
        <v>22</v>
      </c>
      <c r="Z46" s="288">
        <f t="shared" si="5"/>
        <v>4</v>
      </c>
      <c r="AA46" s="64">
        <f t="shared" si="6"/>
        <v>1</v>
      </c>
      <c r="AB46" s="323">
        <f t="shared" si="2"/>
        <v>17</v>
      </c>
      <c r="AC46" s="83">
        <f t="shared" si="7"/>
        <v>3</v>
      </c>
      <c r="AD46" s="46"/>
      <c r="AE46" s="65"/>
      <c r="AF46" s="16"/>
      <c r="AG46" s="153"/>
      <c r="AH46" s="153"/>
      <c r="AI46" s="153"/>
      <c r="AJ46" s="153"/>
      <c r="AK46" s="19"/>
      <c r="AL46" s="153"/>
      <c r="AM46" s="153"/>
      <c r="AN46" s="153"/>
      <c r="AO46" s="150"/>
      <c r="AP46" s="183"/>
      <c r="AQ46" s="28"/>
      <c r="AR46" s="190"/>
      <c r="AS46" s="186"/>
      <c r="AT46" s="185"/>
      <c r="AU46" s="195"/>
      <c r="AV46" s="197"/>
      <c r="AW46" s="197"/>
      <c r="AX46" s="197"/>
      <c r="AY46" s="199"/>
    </row>
    <row r="47" spans="1:51" ht="13.5" customHeight="1">
      <c r="A47" s="103" t="s">
        <v>191</v>
      </c>
      <c r="B47" s="87">
        <v>1</v>
      </c>
      <c r="C47" s="87">
        <f>J11</f>
        <v>5</v>
      </c>
      <c r="D47" s="93" t="s">
        <v>199</v>
      </c>
      <c r="E47" s="302" t="s">
        <v>302</v>
      </c>
      <c r="F47" s="306" t="s">
        <v>200</v>
      </c>
      <c r="G47" s="307"/>
      <c r="H47" s="119"/>
      <c r="I47" s="43"/>
      <c r="J47" s="126"/>
      <c r="L47" s="280" t="s">
        <v>180</v>
      </c>
      <c r="M47" s="281">
        <f>man</f>
        <v>32</v>
      </c>
      <c r="N47" s="282">
        <f>coo</f>
        <v>45</v>
      </c>
      <c r="O47" s="282">
        <f>man</f>
        <v>32</v>
      </c>
      <c r="P47" s="313">
        <f aca="true" t="shared" si="9" ref="P47:P52">ROUNDUP(M47/2,0)</f>
        <v>16</v>
      </c>
      <c r="Q47" s="283">
        <f aca="true" t="shared" si="10" ref="Q47:Q52">ROUNDUP(M47/10,0)</f>
        <v>4</v>
      </c>
      <c r="R47" s="285">
        <f aca="true" t="shared" si="11" ref="R47:R52">ROUNDUP((3*M47+2*N47+O47)/4,0)</f>
        <v>55</v>
      </c>
      <c r="S47" s="286">
        <f aca="true" t="shared" si="12" ref="S47:S52">ROUNDUP((3*M47+2*N47+O47)/30,0)</f>
        <v>8</v>
      </c>
      <c r="T47" s="72"/>
      <c r="U47" s="73"/>
      <c r="V47" s="101" t="s">
        <v>174</v>
      </c>
      <c r="W47" s="63">
        <f>sou</f>
        <v>35</v>
      </c>
      <c r="X47" s="63">
        <f>pui</f>
        <v>51</v>
      </c>
      <c r="Y47" s="63">
        <f>fat</f>
        <v>31</v>
      </c>
      <c r="Z47" s="289">
        <f t="shared" si="5"/>
        <v>18</v>
      </c>
      <c r="AA47" s="278">
        <f t="shared" si="6"/>
        <v>4</v>
      </c>
      <c r="AB47" s="276">
        <f t="shared" si="2"/>
        <v>60</v>
      </c>
      <c r="AC47" s="322">
        <f t="shared" si="7"/>
        <v>8</v>
      </c>
      <c r="AD47" s="46"/>
      <c r="AE47" s="65"/>
      <c r="AF47" s="16"/>
      <c r="AG47" s="153"/>
      <c r="AH47" s="153"/>
      <c r="AI47" s="153"/>
      <c r="AJ47" s="153"/>
      <c r="AK47" s="19"/>
      <c r="AL47" s="153"/>
      <c r="AM47" s="153"/>
      <c r="AN47" s="153"/>
      <c r="AO47" s="150"/>
      <c r="AP47" s="182">
        <v>12</v>
      </c>
      <c r="AQ47" s="26"/>
      <c r="AR47" s="189"/>
      <c r="AS47" s="193"/>
      <c r="AT47" s="194"/>
      <c r="AU47" s="126"/>
      <c r="AV47" s="196"/>
      <c r="AW47" s="196"/>
      <c r="AX47" s="196"/>
      <c r="AY47" s="198"/>
    </row>
    <row r="48" spans="1:51" ht="13.5" customHeight="1" thickBot="1">
      <c r="A48" s="104" t="s">
        <v>192</v>
      </c>
      <c r="B48" s="90">
        <f>C47+1</f>
        <v>6</v>
      </c>
      <c r="C48" s="90">
        <f>J13</f>
        <v>13</v>
      </c>
      <c r="D48" s="94">
        <v>1</v>
      </c>
      <c r="E48" s="303" t="s">
        <v>301</v>
      </c>
      <c r="F48" s="308" t="s">
        <v>201</v>
      </c>
      <c r="G48" s="309"/>
      <c r="H48" s="120"/>
      <c r="I48" s="121"/>
      <c r="J48" s="127" t="s">
        <v>218</v>
      </c>
      <c r="L48" s="101" t="s">
        <v>181</v>
      </c>
      <c r="M48" s="79">
        <f>man</f>
        <v>32</v>
      </c>
      <c r="N48" s="46">
        <f>sop</f>
        <v>48</v>
      </c>
      <c r="O48" s="46">
        <f>car</f>
        <v>22</v>
      </c>
      <c r="P48" s="289">
        <f t="shared" si="9"/>
        <v>16</v>
      </c>
      <c r="Q48" s="278">
        <f t="shared" si="10"/>
        <v>4</v>
      </c>
      <c r="R48" s="276">
        <f t="shared" si="11"/>
        <v>54</v>
      </c>
      <c r="S48" s="322">
        <f t="shared" si="12"/>
        <v>8</v>
      </c>
      <c r="T48" s="47"/>
      <c r="U48" s="74"/>
      <c r="V48" s="101" t="s">
        <v>175</v>
      </c>
      <c r="W48" s="63">
        <f>mem</f>
        <v>12</v>
      </c>
      <c r="X48" s="63">
        <f>rap</f>
        <v>7</v>
      </c>
      <c r="Y48" s="63">
        <f>rai</f>
        <v>12</v>
      </c>
      <c r="Z48" s="289">
        <f t="shared" si="5"/>
        <v>6</v>
      </c>
      <c r="AA48" s="278">
        <f t="shared" si="6"/>
        <v>2</v>
      </c>
      <c r="AB48" s="276">
        <f t="shared" si="2"/>
        <v>16</v>
      </c>
      <c r="AC48" s="322">
        <f t="shared" si="7"/>
        <v>3</v>
      </c>
      <c r="AD48" s="46"/>
      <c r="AE48" s="65"/>
      <c r="AF48" s="16"/>
      <c r="AG48" s="153"/>
      <c r="AH48" s="153"/>
      <c r="AI48" s="153"/>
      <c r="AJ48" s="153"/>
      <c r="AK48" s="19"/>
      <c r="AL48" s="153"/>
      <c r="AM48" s="153"/>
      <c r="AN48" s="153"/>
      <c r="AO48" s="150"/>
      <c r="AP48" s="183"/>
      <c r="AQ48" s="28"/>
      <c r="AR48" s="190"/>
      <c r="AS48" s="186"/>
      <c r="AT48" s="185"/>
      <c r="AU48" s="195"/>
      <c r="AV48" s="197"/>
      <c r="AW48" s="197"/>
      <c r="AX48" s="197"/>
      <c r="AY48" s="199"/>
    </row>
    <row r="49" spans="1:51" ht="13.5" customHeight="1">
      <c r="A49" s="103" t="s">
        <v>193</v>
      </c>
      <c r="B49" s="87">
        <f>C48+1</f>
        <v>14</v>
      </c>
      <c r="C49" s="87">
        <f>J15</f>
        <v>21</v>
      </c>
      <c r="D49" s="95">
        <v>2</v>
      </c>
      <c r="E49" s="304" t="s">
        <v>300</v>
      </c>
      <c r="F49" s="306" t="s">
        <v>202</v>
      </c>
      <c r="G49" s="307"/>
      <c r="H49" s="122" t="s">
        <v>211</v>
      </c>
      <c r="I49" s="44"/>
      <c r="J49" s="128" t="s">
        <v>215</v>
      </c>
      <c r="L49" s="99" t="s">
        <v>182</v>
      </c>
      <c r="M49" s="79">
        <f>mem</f>
        <v>12</v>
      </c>
      <c r="N49" s="46">
        <f>com</f>
        <v>19</v>
      </c>
      <c r="O49" s="46">
        <f>sop</f>
        <v>48</v>
      </c>
      <c r="P49" s="288">
        <f t="shared" si="9"/>
        <v>6</v>
      </c>
      <c r="Q49" s="64">
        <f t="shared" si="10"/>
        <v>2</v>
      </c>
      <c r="R49" s="323">
        <f t="shared" si="11"/>
        <v>31</v>
      </c>
      <c r="S49" s="83">
        <f t="shared" si="12"/>
        <v>5</v>
      </c>
      <c r="T49" s="47"/>
      <c r="U49" s="74"/>
      <c r="V49" s="99" t="s">
        <v>176</v>
      </c>
      <c r="W49" s="63">
        <f>voi</f>
        <v>7</v>
      </c>
      <c r="X49" s="63">
        <f>mem</f>
        <v>12</v>
      </c>
      <c r="Y49" s="63">
        <f>voi</f>
        <v>7</v>
      </c>
      <c r="Z49" s="288">
        <f t="shared" si="5"/>
        <v>4</v>
      </c>
      <c r="AA49" s="64">
        <f t="shared" si="6"/>
        <v>1</v>
      </c>
      <c r="AB49" s="323">
        <f t="shared" si="2"/>
        <v>13</v>
      </c>
      <c r="AC49" s="83">
        <f t="shared" si="7"/>
        <v>2</v>
      </c>
      <c r="AD49" s="46"/>
      <c r="AE49" s="65"/>
      <c r="AF49" s="16"/>
      <c r="AG49" s="153"/>
      <c r="AH49" s="153"/>
      <c r="AI49" s="153"/>
      <c r="AJ49" s="153"/>
      <c r="AK49" s="19"/>
      <c r="AL49" s="153"/>
      <c r="AM49" s="153"/>
      <c r="AN49" s="153"/>
      <c r="AO49" s="150"/>
      <c r="AP49" s="49" t="s">
        <v>282</v>
      </c>
      <c r="AQ49" s="49"/>
      <c r="AR49" s="49"/>
      <c r="AS49" s="49"/>
      <c r="AT49" s="49"/>
      <c r="AU49" s="39"/>
      <c r="AV49" s="39"/>
      <c r="AW49" s="39"/>
      <c r="AX49" s="39"/>
      <c r="AY49" s="39"/>
    </row>
    <row r="50" spans="1:51" ht="13.5" customHeight="1">
      <c r="A50" s="104" t="s">
        <v>194</v>
      </c>
      <c r="B50" s="90">
        <f>C49+1</f>
        <v>22</v>
      </c>
      <c r="C50" s="90">
        <f>J18</f>
        <v>33</v>
      </c>
      <c r="D50" s="94">
        <v>4</v>
      </c>
      <c r="E50" s="303" t="s">
        <v>303</v>
      </c>
      <c r="F50" s="308" t="s">
        <v>203</v>
      </c>
      <c r="G50" s="309"/>
      <c r="H50" s="123" t="s">
        <v>212</v>
      </c>
      <c r="I50" s="124" t="s">
        <v>211</v>
      </c>
      <c r="J50" s="127" t="s">
        <v>216</v>
      </c>
      <c r="L50" s="101" t="s">
        <v>183</v>
      </c>
      <c r="M50" s="79">
        <f>rai</f>
        <v>12</v>
      </c>
      <c r="N50" s="46">
        <f>sop</f>
        <v>48</v>
      </c>
      <c r="O50" s="46">
        <f>rap</f>
        <v>7</v>
      </c>
      <c r="P50" s="316">
        <f t="shared" si="9"/>
        <v>6</v>
      </c>
      <c r="Q50" s="317">
        <f t="shared" si="10"/>
        <v>2</v>
      </c>
      <c r="R50" s="319">
        <f t="shared" si="11"/>
        <v>35</v>
      </c>
      <c r="S50" s="320">
        <f t="shared" si="12"/>
        <v>5</v>
      </c>
      <c r="T50" s="47"/>
      <c r="U50" s="74"/>
      <c r="V50" s="101" t="s">
        <v>177</v>
      </c>
      <c r="W50" s="63">
        <f>inu</f>
        <v>24</v>
      </c>
      <c r="X50" s="63">
        <f>com</f>
        <v>19</v>
      </c>
      <c r="Y50" s="63">
        <f>mem</f>
        <v>12</v>
      </c>
      <c r="Z50" s="289">
        <f t="shared" si="5"/>
        <v>12</v>
      </c>
      <c r="AA50" s="278">
        <f t="shared" si="6"/>
        <v>3</v>
      </c>
      <c r="AB50" s="276">
        <f t="shared" si="2"/>
        <v>31</v>
      </c>
      <c r="AC50" s="322">
        <f t="shared" si="7"/>
        <v>5</v>
      </c>
      <c r="AD50" s="46"/>
      <c r="AE50" s="65"/>
      <c r="AF50" s="16"/>
      <c r="AG50" s="153"/>
      <c r="AH50" s="153"/>
      <c r="AI50" s="153"/>
      <c r="AJ50" s="153"/>
      <c r="AK50" s="19"/>
      <c r="AL50" s="153"/>
      <c r="AM50" s="153"/>
      <c r="AN50" s="153"/>
      <c r="AO50" s="150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41" ht="13.5" customHeight="1" thickBot="1">
      <c r="A51" s="103" t="s">
        <v>195</v>
      </c>
      <c r="B51" s="87">
        <f>C50+1</f>
        <v>34</v>
      </c>
      <c r="C51" s="87">
        <f>hpv</f>
        <v>41</v>
      </c>
      <c r="D51" s="95">
        <v>8</v>
      </c>
      <c r="E51" s="304" t="s">
        <v>304</v>
      </c>
      <c r="F51" s="306" t="s">
        <v>204</v>
      </c>
      <c r="G51" s="307"/>
      <c r="H51" s="122" t="s">
        <v>213</v>
      </c>
      <c r="I51" s="125" t="s">
        <v>212</v>
      </c>
      <c r="J51" s="128" t="s">
        <v>217</v>
      </c>
      <c r="L51" s="101" t="s">
        <v>184</v>
      </c>
      <c r="M51" s="79">
        <f>man</f>
        <v>32</v>
      </c>
      <c r="N51" s="46">
        <f>car</f>
        <v>22</v>
      </c>
      <c r="O51" s="46">
        <f>com</f>
        <v>19</v>
      </c>
      <c r="P51" s="316">
        <f t="shared" si="9"/>
        <v>16</v>
      </c>
      <c r="Q51" s="317">
        <f t="shared" si="10"/>
        <v>4</v>
      </c>
      <c r="R51" s="319">
        <f t="shared" si="11"/>
        <v>40</v>
      </c>
      <c r="S51" s="320">
        <f t="shared" si="12"/>
        <v>6</v>
      </c>
      <c r="T51" s="47"/>
      <c r="U51" s="74"/>
      <c r="V51" s="99" t="s">
        <v>178</v>
      </c>
      <c r="W51" s="63">
        <f>sou</f>
        <v>35</v>
      </c>
      <c r="X51" s="63">
        <f>mem</f>
        <v>12</v>
      </c>
      <c r="Y51" s="63">
        <v>19</v>
      </c>
      <c r="Z51" s="288">
        <f t="shared" si="5"/>
        <v>18</v>
      </c>
      <c r="AA51" s="64">
        <f t="shared" si="6"/>
        <v>4</v>
      </c>
      <c r="AB51" s="323">
        <f t="shared" si="2"/>
        <v>37</v>
      </c>
      <c r="AC51" s="83">
        <f t="shared" si="7"/>
        <v>5</v>
      </c>
      <c r="AD51" s="46"/>
      <c r="AE51" s="65"/>
      <c r="AF51" s="20"/>
      <c r="AG51" s="154"/>
      <c r="AH51" s="154"/>
      <c r="AI51" s="154"/>
      <c r="AJ51" s="154"/>
      <c r="AK51" s="22"/>
      <c r="AL51" s="154"/>
      <c r="AM51" s="154"/>
      <c r="AN51" s="154"/>
      <c r="AO51" s="151"/>
    </row>
    <row r="52" spans="1:31" ht="13.5" customHeight="1" thickBot="1">
      <c r="A52" s="105" t="s">
        <v>196</v>
      </c>
      <c r="B52" s="91">
        <f>C51+1</f>
        <v>42</v>
      </c>
      <c r="C52" s="91">
        <f>hpv+J20</f>
        <v>49</v>
      </c>
      <c r="D52" s="96">
        <v>16</v>
      </c>
      <c r="E52" s="305" t="s">
        <v>305</v>
      </c>
      <c r="F52" s="310" t="s">
        <v>205</v>
      </c>
      <c r="G52" s="312"/>
      <c r="H52" s="251" t="s">
        <v>214</v>
      </c>
      <c r="I52" s="252"/>
      <c r="J52" s="253"/>
      <c r="L52" s="102" t="s">
        <v>185</v>
      </c>
      <c r="M52" s="81">
        <f>man</f>
        <v>32</v>
      </c>
      <c r="N52" s="75">
        <f>sop</f>
        <v>48</v>
      </c>
      <c r="O52" s="75">
        <f>coo</f>
        <v>45</v>
      </c>
      <c r="P52" s="314">
        <f t="shared" si="9"/>
        <v>16</v>
      </c>
      <c r="Q52" s="279">
        <f t="shared" si="10"/>
        <v>4</v>
      </c>
      <c r="R52" s="277">
        <f t="shared" si="11"/>
        <v>60</v>
      </c>
      <c r="S52" s="315">
        <f t="shared" si="12"/>
        <v>8</v>
      </c>
      <c r="T52" s="76"/>
      <c r="U52" s="77"/>
      <c r="V52" s="100" t="s">
        <v>179</v>
      </c>
      <c r="W52" s="66">
        <f>sop</f>
        <v>48</v>
      </c>
      <c r="X52" s="66">
        <f>sou</f>
        <v>35</v>
      </c>
      <c r="Y52" s="66">
        <f>pui</f>
        <v>51</v>
      </c>
      <c r="Z52" s="324">
        <f t="shared" si="5"/>
        <v>24</v>
      </c>
      <c r="AA52" s="67">
        <f t="shared" si="6"/>
        <v>5</v>
      </c>
      <c r="AB52" s="325">
        <f t="shared" si="2"/>
        <v>67</v>
      </c>
      <c r="AC52" s="326">
        <f t="shared" si="7"/>
        <v>9</v>
      </c>
      <c r="AD52" s="75"/>
      <c r="AE52" s="68"/>
    </row>
  </sheetData>
  <mergeCells count="31">
    <mergeCell ref="F52:G52"/>
    <mergeCell ref="E46:G46"/>
    <mergeCell ref="F48:G48"/>
    <mergeCell ref="F49:G49"/>
    <mergeCell ref="F50:G50"/>
    <mergeCell ref="F51:G51"/>
    <mergeCell ref="AI36:AJ36"/>
    <mergeCell ref="F47:G47"/>
    <mergeCell ref="P7:Q7"/>
    <mergeCell ref="R7:S7"/>
    <mergeCell ref="Z7:AA7"/>
    <mergeCell ref="AB7:AC7"/>
    <mergeCell ref="AJ8:AO8"/>
    <mergeCell ref="AP2:AY2"/>
    <mergeCell ref="AF35:AH35"/>
    <mergeCell ref="AJ15:AO15"/>
    <mergeCell ref="AJ16:AO16"/>
    <mergeCell ref="AJ17:AO17"/>
    <mergeCell ref="AJ18:AO18"/>
    <mergeCell ref="AH3:AO4"/>
    <mergeCell ref="AF21:AG21"/>
    <mergeCell ref="L2:AE2"/>
    <mergeCell ref="L3:AE4"/>
    <mergeCell ref="H52:J52"/>
    <mergeCell ref="AJ9:AO9"/>
    <mergeCell ref="AJ10:AO10"/>
    <mergeCell ref="AJ11:AO11"/>
    <mergeCell ref="AJ13:AO13"/>
    <mergeCell ref="AJ14:AO14"/>
    <mergeCell ref="AJ12:AO12"/>
    <mergeCell ref="AJ19:AO19"/>
  </mergeCells>
  <printOptions/>
  <pageMargins left="0.15748031496062992" right="0.15748031496062992" top="0.5905511811023623" bottom="0.3937007874015748" header="0.31496062992125984" footer="0.11811023622047245"/>
  <pageSetup horizontalDpi="600" verticalDpi="600" orientation="portrait" paperSize="9" r:id="rId1"/>
  <headerFooter alignWithMargins="0">
    <oddHeader>&amp;L&amp;8&amp;F&amp;10
&amp;CJoueur:
&amp;R&amp;8&amp;D&amp;10
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Tanghe Thierry</dc:creator>
  <cp:keywords/>
  <dc:description/>
  <cp:lastModifiedBy>Tanghe Thierry</cp:lastModifiedBy>
  <cp:lastPrinted>1999-12-07T14:25:11Z</cp:lastPrinted>
  <dcterms:created xsi:type="dcterms:W3CDTF">1998-12-10T11:41:43Z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